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ate\Dropbox\2015 budgets\"/>
    </mc:Choice>
  </mc:AlternateContent>
  <bookViews>
    <workbookView xWindow="180" yWindow="255" windowWidth="14970" windowHeight="10740" tabRatio="733" firstSheet="7" activeTab="11"/>
  </bookViews>
  <sheets>
    <sheet name="Title Page" sheetId="29" r:id="rId1"/>
    <sheet name="Summary" sheetId="45" r:id="rId2"/>
    <sheet name="Input Prices" sheetId="28" r:id="rId3"/>
    <sheet name="Instructions" sheetId="43" r:id="rId4"/>
    <sheet name="Graphical" sheetId="25" state="hidden" r:id="rId5"/>
    <sheet name="NI-AHE-15 Calendar" sheetId="26" r:id="rId6"/>
    <sheet name="NI-AHE-15" sheetId="27" r:id="rId7"/>
    <sheet name="NI-AH-15 Calendar" sheetId="37" r:id="rId8"/>
    <sheet name="NI-AH-15" sheetId="38" r:id="rId9"/>
    <sheet name="Machinery Costs" sheetId="32" r:id="rId10"/>
    <sheet name="Cal" sheetId="47" state="hidden" r:id="rId11"/>
    <sheet name="Machinery Complement" sheetId="31" r:id="rId12"/>
  </sheets>
  <externalReferences>
    <externalReference r:id="rId13"/>
  </externalReferences>
  <definedNames>
    <definedName name="Achieve">'Input Prices'!#REF!</definedName>
    <definedName name="AchieveSC">'Input Prices'!$D$44</definedName>
    <definedName name="Aerial">'Input Prices'!$D$35</definedName>
    <definedName name="alfSd">'Input Prices'!$D$16</definedName>
    <definedName name="Ally">'Input Prices'!$D$45</definedName>
    <definedName name="AmmoniaS">#REF!</definedName>
    <definedName name="AmmSulf">#REF!</definedName>
    <definedName name="AmmSulfLiq">'Input Prices'!$D$29</definedName>
    <definedName name="AmSulf">'Input Prices'!$D$28</definedName>
    <definedName name="AssureII">'Input Prices'!$D$46</definedName>
    <definedName name="Axial">'Input Prices'!$D$47</definedName>
    <definedName name="Barley">'Input Prices'!#REF!</definedName>
    <definedName name="BarleySeed">#REF!</definedName>
    <definedName name="Barsd">'Input Prices'!$D$17</definedName>
    <definedName name="Bronate">'Input Prices'!$D$48</definedName>
    <definedName name="BroxM">'Input Prices'!$D$49</definedName>
    <definedName name="camelina">'Input Prices'!#REF!</definedName>
    <definedName name="Capture">'Input Prices'!$D$50</definedName>
    <definedName name="cashrent">'Input Prices'!$D$83</definedName>
    <definedName name="CBudget">#REF!</definedName>
    <definedName name="cialf">'Input Prices'!$D$70</definedName>
    <definedName name="cifb">'Input Prices'!$D$69</definedName>
    <definedName name="cigarb">'Input Prices'!#REF!</definedName>
    <definedName name="cihrs">'Input Prices'!#REF!</definedName>
    <definedName name="cioa">'Input Prices'!$D$70</definedName>
    <definedName name="cisc">'Input Prices'!#REF!</definedName>
    <definedName name="cisl">'Input Prices'!#REF!</definedName>
    <definedName name="cisp">'Input Prices'!#REF!</definedName>
    <definedName name="cissw">'Input Prices'!#REF!</definedName>
    <definedName name="ciww">'Input Prices'!#REF!</definedName>
    <definedName name="ciym">'Input Prices'!#REF!</definedName>
    <definedName name="CMC">'Machinery Costs'!#REF!</definedName>
    <definedName name="COC">'Input Prices'!$D$31</definedName>
    <definedName name="custcomb">'Input Prices'!$D$40</definedName>
    <definedName name="customaerial">#REF!</definedName>
    <definedName name="Diesel">'Input Prices'!$D$12</definedName>
    <definedName name="Dimethoate">'Input Prices'!$D$51</definedName>
    <definedName name="Discover">'Input Prices'!$D$52</definedName>
    <definedName name="DPest">'Input Prices'!$D$43</definedName>
    <definedName name="DPesticide">#REF!</definedName>
    <definedName name="Excel">'Input Prices'!#REF!</definedName>
    <definedName name="Fargo">'Input Prices'!$D$53</definedName>
    <definedName name="FertApplicator">'Input Prices'!$D$36</definedName>
    <definedName name="FertilizerApplicator">#REF!</definedName>
    <definedName name="Finesse">'Input Prices'!$D$54</definedName>
    <definedName name="Garbanzo">'Input Prices'!#REF!</definedName>
    <definedName name="Gas">'Input Prices'!$D$13</definedName>
    <definedName name="GBudget">#REF!</definedName>
    <definedName name="Glyphosphate">'Input Prices'!$D$55</definedName>
    <definedName name="GMC">'Machinery Costs'!#REF!</definedName>
    <definedName name="GrassSd">'Input Prices'!#REF!</definedName>
    <definedName name="Gypsum">'Input Prices'!$D$24</definedName>
    <definedName name="hardredspringwheat">#REF!</definedName>
    <definedName name="HourlyMachineLabor">#REF!</definedName>
    <definedName name="Imidan">'Input Prices'!$D$56</definedName>
    <definedName name="InPlace">'Input Prices'!#REF!</definedName>
    <definedName name="Labor">'Input Prices'!$D$73</definedName>
    <definedName name="Landtax">'Input Prices'!$D$86</definedName>
    <definedName name="Lentil">'Input Prices'!#REF!</definedName>
    <definedName name="M">'Input Prices'!#REF!</definedName>
    <definedName name="Maverick">'Input Prices'!$D$57</definedName>
    <definedName name="MF">'Input Prices'!$D$80</definedName>
    <definedName name="mustang">'Input Prices'!$D$58</definedName>
    <definedName name="MustSd">'[1]Input Prices'!$D$23</definedName>
    <definedName name="Nitrogen">'Input Prices'!$D$20</definedName>
    <definedName name="NitrogenPriceAssumption">#REF!</definedName>
    <definedName name="oh">'Input Prices'!$D$77</definedName>
    <definedName name="OL">'Input Prices'!$D$74</definedName>
    <definedName name="operloan">'Input Prices'!$D$89</definedName>
    <definedName name="OperShare">#REF!</definedName>
    <definedName name="Osprey">'Input Prices'!$D$59</definedName>
    <definedName name="OwnerShare">#REF!</definedName>
    <definedName name="Pea">'Input Prices'!#REF!</definedName>
    <definedName name="Phosphorous">'Input Prices'!$D$21</definedName>
    <definedName name="poast">'Input Prices'!$D$60</definedName>
    <definedName name="Potassium">'Input Prices'!$D$23</definedName>
    <definedName name="_xlnm.Print_Area" localSheetId="4">Graphical!$A$1:$N$45</definedName>
    <definedName name="_xlnm.Print_Area" localSheetId="2">'Input Prices'!$B$8:$E$94</definedName>
    <definedName name="_xlnm.Print_Area" localSheetId="3">Instructions!$B$2:$B$31</definedName>
    <definedName name="_xlnm.Print_Area" localSheetId="11">'Machinery Complement'!$B$2:$L$23</definedName>
    <definedName name="_xlnm.Print_Area" localSheetId="9">'Machinery Costs'!$B$2:$N$56</definedName>
    <definedName name="_xlnm.Print_Area" localSheetId="8">'NI-AH-15'!$B$8:$J$105</definedName>
    <definedName name="_xlnm.Print_Area" localSheetId="7">'NI-AH-15 Calendar'!$B$2:$E$24</definedName>
    <definedName name="_xlnm.Print_Area" localSheetId="6">'NI-AHE-15'!$B$8:$J$80</definedName>
    <definedName name="_xlnm.Print_Area" localSheetId="5">'NI-AHE-15 Calendar'!$B$2:$E$20</definedName>
    <definedName name="_xlnm.Print_Area" localSheetId="1">Summary!$B$7:$N$20</definedName>
    <definedName name="_xlnm.Print_Area" localSheetId="0">'Title Page'!$A$1:$L$43</definedName>
    <definedName name="_xlnm.Print_Titles" localSheetId="4">Graphical!$2:$2</definedName>
    <definedName name="_xlnm.Print_Titles" localSheetId="2">'Input Prices'!$8:$10</definedName>
    <definedName name="_xlnm.Print_Titles" localSheetId="6">'NI-AHE-15'!$8:$12</definedName>
    <definedName name="Prowl">'Input Prices'!$D$61</definedName>
    <definedName name="Pursuit">'Input Prices'!$D$62</definedName>
    <definedName name="Quadris">'Input Prices'!$D$63</definedName>
    <definedName name="Quilt">'Input Prices'!$D$64</definedName>
    <definedName name="RedWheat">'Input Prices'!#REF!</definedName>
    <definedName name="RentalSprayer">#REF!</definedName>
    <definedName name="Roundup">#REF!</definedName>
    <definedName name="RPest">'Input Prices'!#REF!</definedName>
    <definedName name="RSW">#REF!</definedName>
    <definedName name="RSWMC">'Machinery Costs'!#REF!</definedName>
    <definedName name="sample">'Input Prices'!$D$18</definedName>
    <definedName name="SB">'NI-AHE-15'!$A$7</definedName>
    <definedName name="SBMC">'Machinery Costs'!#REF!</definedName>
    <definedName name="SC">#REF!</definedName>
    <definedName name="SCMC">'Machinery Costs'!#REF!</definedName>
    <definedName name="Shooter">'Input Prices'!$D$38</definedName>
    <definedName name="Shredder">'Input Prices'!$D$37</definedName>
    <definedName name="SL">#REF!</definedName>
    <definedName name="SLMC">'Machinery Costs'!#REF!</definedName>
    <definedName name="SPeas">#REF!</definedName>
    <definedName name="SPMC">'Machinery Costs'!#REF!</definedName>
    <definedName name="Sprayer">'Input Prices'!$D$39</definedName>
    <definedName name="SpringPeaSeed">#REF!</definedName>
    <definedName name="Starane">'Input Prices'!$D$65</definedName>
    <definedName name="StaraneSalvo">'Input Prices'!$D$66</definedName>
    <definedName name="StaraneSword">'Input Prices'!#REF!</definedName>
    <definedName name="Sulfur">'Input Prices'!$D$22</definedName>
    <definedName name="Surfactant">'Input Prices'!#REF!</definedName>
    <definedName name="SW">#REF!</definedName>
    <definedName name="SWMC">'Machinery Costs'!#REF!</definedName>
    <definedName name="Syltac">'Input Prices'!#REF!</definedName>
    <definedName name="SyltacS">#REF!</definedName>
    <definedName name="UltraPest">'Input Prices'!#REF!</definedName>
    <definedName name="UltraPro">'Input Prices'!$D$32</definedName>
    <definedName name="UltraProPesticide">#REF!</definedName>
    <definedName name="Wheat">'Input Prices'!#REF!</definedName>
    <definedName name="WheatSeed">#REF!</definedName>
    <definedName name="WW">#REF!</definedName>
    <definedName name="WWMC">'Machinery Costs'!$C$39</definedName>
    <definedName name="yrs">Summary!$C$18</definedName>
  </definedNames>
  <calcPr calcId="152511"/>
  <customWorkbookViews>
    <customWorkbookView name="Office 2004 User - Personal View" guid="{5519EDA0-AC19-11DC-BDFC-0017F2D6B148}" mergeInterval="0" personalView="1" xWindow="-1" yWindow="19" windowWidth="839" windowHeight="722" activeSheetId="6"/>
    <customWorkbookView name="Kate Painter - Personal View" guid="{E00EC0C4-E70A-4D33-A9FE-7CF308F53A5C}" mergeInterval="0" personalView="1" maximized="1" windowWidth="1020" windowHeight="570" activeSheetId="3"/>
    <customWorkbookView name="Kent Madison - Personal View" guid="{DF41C481-38FD-4F9F-AEF1-AE5420249928}" mergeInterval="0" personalView="1" maximized="1" windowWidth="1020" windowHeight="579" activeSheetId="2"/>
  </customWorkbookViews>
</workbook>
</file>

<file path=xl/calcChain.xml><?xml version="1.0" encoding="utf-8"?>
<calcChain xmlns="http://schemas.openxmlformats.org/spreadsheetml/2006/main">
  <c r="J68" i="38" l="1"/>
  <c r="J69" i="38"/>
  <c r="J39" i="38" l="1"/>
  <c r="J40" i="38"/>
  <c r="H29" i="38"/>
  <c r="J29" i="38" s="1"/>
  <c r="D58" i="28"/>
  <c r="C50" i="32" l="1"/>
  <c r="D50" i="32"/>
  <c r="E50" i="32"/>
  <c r="F50" i="32"/>
  <c r="G50" i="32"/>
  <c r="H50" i="32"/>
  <c r="I50" i="32"/>
  <c r="J50" i="32"/>
  <c r="K50" i="32"/>
  <c r="L50" i="32"/>
  <c r="M50" i="32"/>
  <c r="N50" i="32"/>
  <c r="C51" i="32"/>
  <c r="D51" i="32"/>
  <c r="E51" i="32"/>
  <c r="F51" i="32"/>
  <c r="G51" i="32"/>
  <c r="H51" i="32"/>
  <c r="I51" i="32"/>
  <c r="J51" i="32"/>
  <c r="K51" i="32"/>
  <c r="L51" i="32"/>
  <c r="M51" i="32"/>
  <c r="N51" i="32"/>
  <c r="C52" i="32"/>
  <c r="D52" i="32"/>
  <c r="E52" i="32"/>
  <c r="F52" i="32"/>
  <c r="G52" i="32"/>
  <c r="H52" i="32"/>
  <c r="I52" i="32"/>
  <c r="J52" i="32"/>
  <c r="K52" i="32"/>
  <c r="L52" i="32"/>
  <c r="M52" i="32"/>
  <c r="N52" i="32"/>
  <c r="B51" i="32"/>
  <c r="B50" i="32"/>
  <c r="B52" i="32"/>
  <c r="D66" i="28" l="1"/>
  <c r="D65" i="28"/>
  <c r="D64" i="28"/>
  <c r="D63" i="28"/>
  <c r="D62" i="28"/>
  <c r="D61" i="28"/>
  <c r="D60" i="28"/>
  <c r="D55" i="28"/>
  <c r="D53" i="28"/>
  <c r="D51" i="28"/>
  <c r="D50" i="28"/>
  <c r="D49" i="28"/>
  <c r="D47" i="28"/>
  <c r="D46" i="28"/>
  <c r="D43" i="28"/>
  <c r="D23" i="28"/>
  <c r="H46" i="27" l="1"/>
  <c r="J46" i="27" s="1"/>
  <c r="H20" i="27"/>
  <c r="J20" i="27" s="1"/>
  <c r="H19" i="27"/>
  <c r="J19" i="27" s="1"/>
  <c r="H25" i="27"/>
  <c r="J25" i="27" s="1"/>
  <c r="H26" i="27"/>
  <c r="J26" i="27" s="1"/>
  <c r="H27" i="27"/>
  <c r="J27" i="27" s="1"/>
  <c r="H36" i="27"/>
  <c r="H39" i="27"/>
  <c r="H43" i="27"/>
  <c r="J43" i="27" s="1"/>
  <c r="J68" i="27"/>
  <c r="D14" i="27"/>
  <c r="H14" i="27"/>
  <c r="H46" i="38"/>
  <c r="D30" i="28"/>
  <c r="D66" i="38"/>
  <c r="Q27" i="47"/>
  <c r="J32" i="47" s="1"/>
  <c r="H33" i="47"/>
  <c r="H34" i="47"/>
  <c r="H35" i="47"/>
  <c r="H36" i="47"/>
  <c r="H37" i="47"/>
  <c r="H38" i="47"/>
  <c r="H39" i="47"/>
  <c r="H32" i="47"/>
  <c r="F39" i="47"/>
  <c r="F38" i="47"/>
  <c r="I38" i="47" s="1"/>
  <c r="M38" i="47" s="1"/>
  <c r="F37" i="47"/>
  <c r="F36" i="47"/>
  <c r="F35" i="47"/>
  <c r="F34" i="47"/>
  <c r="F33" i="47"/>
  <c r="F32" i="47"/>
  <c r="D33" i="47"/>
  <c r="D34" i="47"/>
  <c r="D35" i="47"/>
  <c r="D36" i="47"/>
  <c r="D37" i="47"/>
  <c r="D38" i="47"/>
  <c r="D39" i="47"/>
  <c r="C33" i="47"/>
  <c r="C34" i="47"/>
  <c r="C35" i="47"/>
  <c r="E35" i="47" s="1"/>
  <c r="C36" i="47"/>
  <c r="C37" i="47"/>
  <c r="C38" i="47"/>
  <c r="C39" i="47"/>
  <c r="C32" i="47"/>
  <c r="D32" i="47"/>
  <c r="B33" i="47"/>
  <c r="B34" i="47"/>
  <c r="E34" i="47" s="1"/>
  <c r="B35" i="47"/>
  <c r="B36" i="47"/>
  <c r="E36" i="47" s="1"/>
  <c r="B37" i="47"/>
  <c r="B38" i="47"/>
  <c r="B39" i="47"/>
  <c r="B32" i="47"/>
  <c r="H29" i="47"/>
  <c r="H28" i="47"/>
  <c r="H30" i="47" s="1"/>
  <c r="F29" i="47"/>
  <c r="F28" i="47"/>
  <c r="F30" i="47" s="1"/>
  <c r="C29" i="47"/>
  <c r="D29" i="47"/>
  <c r="C28" i="47"/>
  <c r="D28" i="47"/>
  <c r="B29" i="47"/>
  <c r="E29" i="47" s="1"/>
  <c r="E30" i="47" s="1"/>
  <c r="B28" i="47"/>
  <c r="Q26" i="47"/>
  <c r="G39" i="47" s="1"/>
  <c r="I39" i="47" s="1"/>
  <c r="M39" i="47" s="1"/>
  <c r="L18" i="47"/>
  <c r="K18" i="47"/>
  <c r="I18" i="47"/>
  <c r="E18" i="47"/>
  <c r="M18" i="47" s="1"/>
  <c r="L17" i="47"/>
  <c r="K17" i="47"/>
  <c r="I17" i="47"/>
  <c r="M17" i="47" s="1"/>
  <c r="E17" i="47"/>
  <c r="L16" i="47"/>
  <c r="K16" i="47"/>
  <c r="I16" i="47"/>
  <c r="M16" i="47" s="1"/>
  <c r="E16" i="47"/>
  <c r="L15" i="47"/>
  <c r="K15" i="47"/>
  <c r="I15" i="47"/>
  <c r="E15" i="47"/>
  <c r="L14" i="47"/>
  <c r="K14" i="47"/>
  <c r="I14" i="47"/>
  <c r="E14" i="47"/>
  <c r="M14" i="47" s="1"/>
  <c r="L13" i="47"/>
  <c r="K13" i="47"/>
  <c r="I13" i="47"/>
  <c r="E13" i="47"/>
  <c r="L12" i="47"/>
  <c r="K12" i="47"/>
  <c r="I12" i="47"/>
  <c r="M12" i="47" s="1"/>
  <c r="E12" i="47"/>
  <c r="L11" i="47"/>
  <c r="K11" i="47"/>
  <c r="I11" i="47"/>
  <c r="E11" i="47"/>
  <c r="J9" i="47"/>
  <c r="H9" i="47"/>
  <c r="G9" i="47"/>
  <c r="F9" i="47"/>
  <c r="D9" i="47"/>
  <c r="C9" i="47"/>
  <c r="B9" i="47"/>
  <c r="L8" i="47"/>
  <c r="K8" i="47"/>
  <c r="K9" i="47" s="1"/>
  <c r="I8" i="47"/>
  <c r="E8" i="47"/>
  <c r="E9" i="47" s="1"/>
  <c r="L7" i="47"/>
  <c r="L9" i="47" s="1"/>
  <c r="K7" i="47"/>
  <c r="I7" i="47"/>
  <c r="E7" i="47"/>
  <c r="M8" i="47"/>
  <c r="E32" i="47"/>
  <c r="J29" i="47"/>
  <c r="J37" i="47"/>
  <c r="M11" i="47"/>
  <c r="J36" i="47"/>
  <c r="M15" i="47"/>
  <c r="G28" i="47"/>
  <c r="J39" i="47"/>
  <c r="J35" i="47"/>
  <c r="G33" i="47"/>
  <c r="I33" i="47" s="1"/>
  <c r="M7" i="47"/>
  <c r="M9" i="47" s="1"/>
  <c r="G35" i="47"/>
  <c r="I35" i="47" s="1"/>
  <c r="J28" i="47"/>
  <c r="J30" i="47" s="1"/>
  <c r="J38" i="47"/>
  <c r="J34" i="47"/>
  <c r="G37" i="47"/>
  <c r="I37" i="47"/>
  <c r="M37" i="47" s="1"/>
  <c r="M13" i="47"/>
  <c r="E39" i="47"/>
  <c r="G38" i="47"/>
  <c r="E37" i="47"/>
  <c r="E33" i="47"/>
  <c r="E38" i="47"/>
  <c r="C30" i="47"/>
  <c r="D30" i="47"/>
  <c r="E28" i="47"/>
  <c r="I9" i="47"/>
  <c r="D15" i="38"/>
  <c r="D45" i="38" s="1"/>
  <c r="J45" i="38" s="1"/>
  <c r="H15" i="38"/>
  <c r="F15" i="45"/>
  <c r="F16" i="45"/>
  <c r="H42" i="38"/>
  <c r="J42" i="38" s="1"/>
  <c r="C49" i="32"/>
  <c r="D49" i="32"/>
  <c r="E49" i="32"/>
  <c r="G49" i="32"/>
  <c r="H49" i="32"/>
  <c r="I49" i="32"/>
  <c r="K49" i="32"/>
  <c r="C54" i="32"/>
  <c r="D54" i="32"/>
  <c r="E54" i="32"/>
  <c r="G54" i="32"/>
  <c r="H54" i="32"/>
  <c r="I54" i="32"/>
  <c r="K54" i="32"/>
  <c r="C53" i="32"/>
  <c r="D53" i="32"/>
  <c r="E53" i="32"/>
  <c r="G53" i="32"/>
  <c r="H53" i="32"/>
  <c r="I53" i="32"/>
  <c r="K53" i="32"/>
  <c r="C55" i="32"/>
  <c r="D55" i="32"/>
  <c r="E55" i="32"/>
  <c r="G55" i="32"/>
  <c r="H55" i="32"/>
  <c r="I55" i="32"/>
  <c r="K55" i="32"/>
  <c r="B55" i="32"/>
  <c r="B54" i="32"/>
  <c r="B53" i="32"/>
  <c r="B49" i="32"/>
  <c r="C46" i="32"/>
  <c r="D46" i="32"/>
  <c r="E46" i="32"/>
  <c r="G46" i="32"/>
  <c r="H46" i="32"/>
  <c r="I46" i="32"/>
  <c r="K46" i="32"/>
  <c r="C47" i="32"/>
  <c r="D47" i="32"/>
  <c r="E47" i="32"/>
  <c r="G47" i="32"/>
  <c r="H47" i="32"/>
  <c r="I47" i="32"/>
  <c r="K47" i="32"/>
  <c r="B47" i="32"/>
  <c r="B46" i="32"/>
  <c r="C36" i="32"/>
  <c r="D36" i="32"/>
  <c r="E36" i="32"/>
  <c r="G36" i="32"/>
  <c r="H36" i="32"/>
  <c r="I36" i="32"/>
  <c r="K36" i="32"/>
  <c r="B36" i="32"/>
  <c r="C34" i="32"/>
  <c r="D34" i="32"/>
  <c r="E34" i="32"/>
  <c r="G34" i="32"/>
  <c r="H34" i="32"/>
  <c r="I34" i="32"/>
  <c r="K34" i="32"/>
  <c r="C35" i="32"/>
  <c r="D35" i="32"/>
  <c r="E35" i="32"/>
  <c r="G35" i="32"/>
  <c r="H35" i="32"/>
  <c r="I35" i="32"/>
  <c r="K35" i="32"/>
  <c r="B35" i="32"/>
  <c r="B34" i="32"/>
  <c r="C33" i="32"/>
  <c r="D33" i="32"/>
  <c r="E33" i="32"/>
  <c r="G33" i="32"/>
  <c r="H33" i="32"/>
  <c r="I33" i="32"/>
  <c r="K33" i="32"/>
  <c r="B33" i="32"/>
  <c r="M34" i="32"/>
  <c r="L34" i="32"/>
  <c r="F34" i="32"/>
  <c r="C32" i="32"/>
  <c r="D32" i="32"/>
  <c r="E32" i="32"/>
  <c r="G32" i="32"/>
  <c r="H32" i="32"/>
  <c r="I32" i="32"/>
  <c r="K32" i="32"/>
  <c r="B32" i="32"/>
  <c r="L33" i="32"/>
  <c r="L32" i="32"/>
  <c r="L54" i="32"/>
  <c r="L53" i="32"/>
  <c r="L55" i="32"/>
  <c r="L36" i="32"/>
  <c r="F33" i="32"/>
  <c r="F32" i="32"/>
  <c r="F54" i="32"/>
  <c r="F53" i="32"/>
  <c r="F55" i="32"/>
  <c r="F36" i="32"/>
  <c r="M47" i="32"/>
  <c r="L47" i="32"/>
  <c r="J47" i="32"/>
  <c r="F47" i="32"/>
  <c r="F46" i="32"/>
  <c r="M46" i="32"/>
  <c r="L46" i="32"/>
  <c r="L49" i="32"/>
  <c r="F49" i="32"/>
  <c r="M35" i="32"/>
  <c r="L35" i="32"/>
  <c r="J35" i="32"/>
  <c r="F35" i="32"/>
  <c r="J34" i="32"/>
  <c r="N47" i="32"/>
  <c r="J46" i="32"/>
  <c r="J29" i="32"/>
  <c r="F29" i="32"/>
  <c r="I31" i="32"/>
  <c r="F31" i="32"/>
  <c r="L31" i="32"/>
  <c r="K31" i="32"/>
  <c r="G31" i="32"/>
  <c r="E31" i="32"/>
  <c r="D31" i="32"/>
  <c r="C31" i="32"/>
  <c r="B31" i="32"/>
  <c r="M29" i="32"/>
  <c r="L29" i="32"/>
  <c r="K29" i="32"/>
  <c r="I29" i="32"/>
  <c r="H29" i="32"/>
  <c r="G29" i="32"/>
  <c r="E29" i="32"/>
  <c r="D29" i="32"/>
  <c r="C29" i="32"/>
  <c r="M28" i="32"/>
  <c r="L28" i="32"/>
  <c r="K28" i="32"/>
  <c r="I28" i="32"/>
  <c r="H28" i="32"/>
  <c r="G28" i="32"/>
  <c r="F28" i="32"/>
  <c r="E28" i="32"/>
  <c r="D28" i="32"/>
  <c r="C28" i="32"/>
  <c r="B29" i="32"/>
  <c r="B28" i="32"/>
  <c r="N34" i="32"/>
  <c r="N35" i="32"/>
  <c r="M36" i="32"/>
  <c r="M53" i="32"/>
  <c r="M31" i="32"/>
  <c r="M55" i="32"/>
  <c r="M54" i="32"/>
  <c r="M49" i="32"/>
  <c r="J49" i="32"/>
  <c r="J28" i="32"/>
  <c r="N46" i="32"/>
  <c r="N29" i="32"/>
  <c r="F97" i="38"/>
  <c r="H97" i="38" s="1"/>
  <c r="H31" i="32"/>
  <c r="N54" i="32"/>
  <c r="J54" i="32"/>
  <c r="N55" i="32"/>
  <c r="J55" i="32"/>
  <c r="N53" i="32"/>
  <c r="J53" i="32"/>
  <c r="N36" i="32"/>
  <c r="J36" i="32"/>
  <c r="M33" i="32"/>
  <c r="J33" i="32"/>
  <c r="N32" i="32"/>
  <c r="J32" i="32"/>
  <c r="M32" i="32"/>
  <c r="J31" i="32"/>
  <c r="N28" i="32"/>
  <c r="N31" i="32"/>
  <c r="D97" i="38"/>
  <c r="N33" i="32"/>
  <c r="N49" i="32"/>
  <c r="J64" i="38"/>
  <c r="H34" i="38"/>
  <c r="M19" i="25"/>
  <c r="M18" i="25"/>
  <c r="H22" i="38"/>
  <c r="J22" i="38" s="1"/>
  <c r="H21" i="38"/>
  <c r="J21" i="38" s="1"/>
  <c r="J47" i="27"/>
  <c r="J42" i="27"/>
  <c r="J41" i="27" s="1"/>
  <c r="H23" i="38"/>
  <c r="J23" i="38" s="1"/>
  <c r="M15" i="25"/>
  <c r="H37" i="38"/>
  <c r="M17" i="25"/>
  <c r="M14" i="25"/>
  <c r="M12" i="25"/>
  <c r="M16" i="25"/>
  <c r="M13" i="25"/>
  <c r="J25" i="38"/>
  <c r="J29" i="27"/>
  <c r="D9" i="25"/>
  <c r="E9" i="25" s="1"/>
  <c r="D11" i="25"/>
  <c r="E11" i="25"/>
  <c r="D13" i="25"/>
  <c r="E13" i="25" s="1"/>
  <c r="D14" i="25"/>
  <c r="E14" i="25" s="1"/>
  <c r="D10" i="25"/>
  <c r="E10" i="25"/>
  <c r="D12" i="25"/>
  <c r="E12" i="25"/>
  <c r="D8" i="25"/>
  <c r="E8" i="25" s="1"/>
  <c r="D39" i="25"/>
  <c r="D7" i="25"/>
  <c r="E7" i="25"/>
  <c r="D31" i="25"/>
  <c r="D43" i="25"/>
  <c r="D41" i="25"/>
  <c r="D36" i="25"/>
  <c r="D34" i="25"/>
  <c r="D33" i="25"/>
  <c r="D30" i="25"/>
  <c r="D35" i="25"/>
  <c r="D37" i="25"/>
  <c r="D32" i="25"/>
  <c r="D40" i="25"/>
  <c r="D38" i="25"/>
  <c r="D29" i="25"/>
  <c r="D42" i="25"/>
  <c r="H63" i="27" l="1"/>
  <c r="J63" i="27" s="1"/>
  <c r="J45" i="27"/>
  <c r="D46" i="38"/>
  <c r="D41" i="38"/>
  <c r="J41" i="38" s="1"/>
  <c r="F86" i="38"/>
  <c r="J15" i="38"/>
  <c r="J14" i="27"/>
  <c r="M56" i="32"/>
  <c r="D34" i="38" s="1"/>
  <c r="J34" i="38" s="1"/>
  <c r="D37" i="32"/>
  <c r="H60" i="27" s="1"/>
  <c r="J60" i="27" s="1"/>
  <c r="L56" i="32"/>
  <c r="D37" i="38" s="1"/>
  <c r="K56" i="32"/>
  <c r="I56" i="32"/>
  <c r="H35" i="38" s="1"/>
  <c r="J35" i="38" s="1"/>
  <c r="F37" i="32"/>
  <c r="F56" i="32"/>
  <c r="H37" i="32"/>
  <c r="G56" i="32"/>
  <c r="H36" i="38" s="1"/>
  <c r="J36" i="38" s="1"/>
  <c r="K37" i="32"/>
  <c r="C37" i="32"/>
  <c r="H59" i="27" s="1"/>
  <c r="J59" i="27" s="1"/>
  <c r="G37" i="32"/>
  <c r="H38" i="27" s="1"/>
  <c r="J38" i="27" s="1"/>
  <c r="E56" i="32"/>
  <c r="H57" i="38" s="1"/>
  <c r="J57" i="38" s="1"/>
  <c r="D56" i="32"/>
  <c r="H56" i="38" s="1"/>
  <c r="J56" i="38" s="1"/>
  <c r="C56" i="32"/>
  <c r="H55" i="38" s="1"/>
  <c r="J55" i="38" s="1"/>
  <c r="M37" i="32"/>
  <c r="D36" i="27" s="1"/>
  <c r="J36" i="27" s="1"/>
  <c r="N37" i="32"/>
  <c r="J56" i="32"/>
  <c r="I37" i="32"/>
  <c r="H37" i="27" s="1"/>
  <c r="J37" i="27" s="1"/>
  <c r="H56" i="32"/>
  <c r="L37" i="32"/>
  <c r="D39" i="27" s="1"/>
  <c r="J39" i="27" s="1"/>
  <c r="J37" i="32"/>
  <c r="N56" i="32"/>
  <c r="E37" i="32"/>
  <c r="H61" i="27" s="1"/>
  <c r="J61" i="27" s="1"/>
  <c r="J37" i="38"/>
  <c r="J46" i="38"/>
  <c r="J44" i="38" s="1"/>
  <c r="J18" i="38"/>
  <c r="J18" i="27"/>
  <c r="M35" i="47"/>
  <c r="J22" i="27"/>
  <c r="G30" i="47"/>
  <c r="I28" i="47"/>
  <c r="G29" i="47"/>
  <c r="I29" i="47" s="1"/>
  <c r="M29" i="47" s="1"/>
  <c r="J33" i="47"/>
  <c r="M33" i="47" s="1"/>
  <c r="G36" i="47"/>
  <c r="I36" i="47" s="1"/>
  <c r="M36" i="47" s="1"/>
  <c r="G32" i="47"/>
  <c r="I32" i="47" s="1"/>
  <c r="M32" i="47" s="1"/>
  <c r="B30" i="47"/>
  <c r="G34" i="47"/>
  <c r="I34" i="47" s="1"/>
  <c r="M34" i="47" s="1"/>
  <c r="H86" i="38" l="1"/>
  <c r="D86" i="38"/>
  <c r="H59" i="38"/>
  <c r="J59" i="38" s="1"/>
  <c r="K16" i="45" s="1"/>
  <c r="J33" i="38"/>
  <c r="J49" i="38" s="1"/>
  <c r="J51" i="38" s="1"/>
  <c r="H99" i="38" s="1"/>
  <c r="J35" i="27"/>
  <c r="J50" i="27" s="1"/>
  <c r="J52" i="27" s="1"/>
  <c r="I30" i="47"/>
  <c r="M28" i="47"/>
  <c r="M30" i="47" s="1"/>
  <c r="J69" i="27" l="1"/>
  <c r="J71" i="27" s="1"/>
  <c r="J73" i="27" s="1"/>
  <c r="H88" i="38"/>
  <c r="F88" i="38"/>
  <c r="D88" i="38"/>
  <c r="J53" i="38"/>
  <c r="I16" i="45"/>
  <c r="J16" i="45" s="1"/>
  <c r="D99" i="38"/>
  <c r="F99" i="38"/>
  <c r="J54" i="27"/>
  <c r="I15" i="45"/>
  <c r="J15" i="45" s="1"/>
  <c r="J56" i="27"/>
  <c r="J74" i="27" l="1"/>
  <c r="G15" i="45"/>
  <c r="H15" i="45" s="1"/>
  <c r="J76" i="27"/>
  <c r="H65" i="38" s="1"/>
  <c r="J65" i="38" s="1"/>
  <c r="J71" i="38" s="1"/>
  <c r="H101" i="38" l="1"/>
  <c r="H90" i="38"/>
  <c r="D101" i="38"/>
  <c r="F90" i="38"/>
  <c r="D90" i="38"/>
  <c r="F101" i="38"/>
  <c r="J73" i="38"/>
  <c r="J76" i="38" l="1"/>
  <c r="J74" i="38"/>
  <c r="D103" i="38"/>
  <c r="H92" i="38"/>
  <c r="H103" i="38"/>
  <c r="F103" i="38"/>
  <c r="G16" i="45"/>
  <c r="H16" i="45" s="1"/>
  <c r="D92" i="38"/>
  <c r="F92" i="38"/>
</calcChain>
</file>

<file path=xl/sharedStrings.xml><?xml version="1.0" encoding="utf-8"?>
<sst xmlns="http://schemas.openxmlformats.org/spreadsheetml/2006/main" count="698" uniqueCount="394">
  <si>
    <t>Crop Oil Concentrate</t>
  </si>
  <si>
    <t>Fuel Use</t>
  </si>
  <si>
    <t xml:space="preserve">(hr/acre) </t>
  </si>
  <si>
    <t>(gal/acre)</t>
  </si>
  <si>
    <t>Cost/Unit</t>
  </si>
  <si>
    <t>Green Cells: Data are from Input Costs page (green tab).</t>
  </si>
  <si>
    <t>Blue Cells: Data are from the Machinery page (blue tab).</t>
  </si>
  <si>
    <t>Total:</t>
  </si>
  <si>
    <t>Back to Costs by Crop</t>
  </si>
  <si>
    <t>Annual</t>
  </si>
  <si>
    <t>Taxes,</t>
  </si>
  <si>
    <t xml:space="preserve">Annual </t>
  </si>
  <si>
    <t>Repairs</t>
  </si>
  <si>
    <t>Gallons</t>
  </si>
  <si>
    <t>Housing,</t>
  </si>
  <si>
    <t>Type of</t>
  </si>
  <si>
    <t>Replacement</t>
  </si>
  <si>
    <t>Age When</t>
  </si>
  <si>
    <t>Years of</t>
  </si>
  <si>
    <t>Hours</t>
  </si>
  <si>
    <t>Salvage</t>
  </si>
  <si>
    <t>(Materials</t>
  </si>
  <si>
    <t>of</t>
  </si>
  <si>
    <t>Insur.,</t>
  </si>
  <si>
    <t>Labor</t>
  </si>
  <si>
    <t>Acres</t>
  </si>
  <si>
    <t>Machine</t>
  </si>
  <si>
    <t>Ownership Costs ($/acre):</t>
  </si>
  <si>
    <r>
      <t xml:space="preserve">Legend: </t>
    </r>
    <r>
      <rPr>
        <b/>
        <i/>
        <sz val="10"/>
        <rFont val="Arial"/>
        <family val="2"/>
      </rPr>
      <t>Follow directions below to preserve equations in this spreadsheet.</t>
    </r>
  </si>
  <si>
    <t>Land Tax:</t>
  </si>
  <si>
    <t>Land Tax</t>
  </si>
  <si>
    <t>Machinery:</t>
  </si>
  <si>
    <t>Input Prices:</t>
  </si>
  <si>
    <r>
      <t>Overhead</t>
    </r>
    <r>
      <rPr>
        <vertAlign val="superscript"/>
        <sz val="10"/>
        <rFont val="Arial"/>
        <family val="2"/>
      </rPr>
      <t>2</t>
    </r>
  </si>
  <si>
    <t>Imidan 70</t>
  </si>
  <si>
    <t>• Type and size of machinery complement</t>
  </si>
  <si>
    <t>• Cultural practices</t>
  </si>
  <si>
    <t>• Size of farm enterprise</t>
  </si>
  <si>
    <t>• Crop yields</t>
  </si>
  <si>
    <t>• Input prices</t>
  </si>
  <si>
    <t>• Commodity prices</t>
  </si>
  <si>
    <t>• Management skill</t>
  </si>
  <si>
    <t>Value</t>
  </si>
  <si>
    <t>Purchased</t>
  </si>
  <si>
    <t>Life</t>
  </si>
  <si>
    <t>of Use</t>
  </si>
  <si>
    <t>&amp; Labor)</t>
  </si>
  <si>
    <t>Fuel/Hr.</t>
  </si>
  <si>
    <t>Licenses</t>
  </si>
  <si>
    <t>Multiplier</t>
  </si>
  <si>
    <t>per Hour</t>
  </si>
  <si>
    <t>$</t>
  </si>
  <si>
    <t>%</t>
  </si>
  <si>
    <t>10-Bottom Plow</t>
  </si>
  <si>
    <t>Trucks:</t>
  </si>
  <si>
    <t>Miles/year:</t>
  </si>
  <si>
    <t>MPG:</t>
  </si>
  <si>
    <t>3/4-Ton Pickup</t>
  </si>
  <si>
    <t>Nitrogen (dry)</t>
  </si>
  <si>
    <t xml:space="preserve">Machinery Repairs </t>
  </si>
  <si>
    <t>Total Costs per Acre</t>
  </si>
  <si>
    <t>Returns to Risk</t>
  </si>
  <si>
    <t>Notes:</t>
  </si>
  <si>
    <t>Breakeven Analysis:</t>
  </si>
  <si>
    <t>-</t>
  </si>
  <si>
    <t>Base</t>
  </si>
  <si>
    <t>+</t>
  </si>
  <si>
    <t>Yield</t>
  </si>
  <si>
    <t>Adjuvants:</t>
  </si>
  <si>
    <t xml:space="preserve">  Repairs </t>
  </si>
  <si>
    <t xml:space="preserve">  Fuel</t>
  </si>
  <si>
    <t>Operating Costs ($/acre):</t>
  </si>
  <si>
    <t>Total Cost</t>
  </si>
  <si>
    <t xml:space="preserve">  Interest</t>
  </si>
  <si>
    <t xml:space="preserve">  Total Ownership Costs</t>
  </si>
  <si>
    <t>Land Costs:</t>
  </si>
  <si>
    <t>Machinery Loan/investment</t>
  </si>
  <si>
    <t>INSTRUCTIONS AND ASSUMPTIONS</t>
  </si>
  <si>
    <t>Acknowledgments:</t>
  </si>
  <si>
    <t>1/3 Crop Value – (1/3 Fertilizer Cost + 1/3 Chemical Cost + 1/3 Crop Insurance + Land Taxes)</t>
  </si>
  <si>
    <t>Cash rent</t>
  </si>
  <si>
    <t>Cash rent:</t>
  </si>
  <si>
    <t>Machinery Costs:</t>
  </si>
  <si>
    <t>Brox M</t>
  </si>
  <si>
    <t>Gas (gal)</t>
  </si>
  <si>
    <t>Spring Barley (SB)</t>
  </si>
  <si>
    <t>Peas (P)</t>
  </si>
  <si>
    <t>Lentils (L)</t>
  </si>
  <si>
    <t>Garbanzos (G)</t>
  </si>
  <si>
    <t>Spring Canola (SC)</t>
  </si>
  <si>
    <t>By Rotation:</t>
  </si>
  <si>
    <t>WW, SWSW, P</t>
  </si>
  <si>
    <t>WW, SB, P</t>
  </si>
  <si>
    <t>WW, SWSW, L</t>
  </si>
  <si>
    <t>WW, SB, L</t>
  </si>
  <si>
    <t>WW, SWSW, G</t>
  </si>
  <si>
    <t>qt</t>
  </si>
  <si>
    <t>Custom &amp; Consultants:</t>
  </si>
  <si>
    <t>Other:</t>
  </si>
  <si>
    <t>April</t>
  </si>
  <si>
    <t>Per Acre</t>
  </si>
  <si>
    <t>Unit</t>
  </si>
  <si>
    <t>Quilt</t>
  </si>
  <si>
    <t>90' Rental Sprayer</t>
  </si>
  <si>
    <t>26' Rental Shredder</t>
  </si>
  <si>
    <t>36' Ripper Shooter</t>
  </si>
  <si>
    <t>Fertilizer Applicator</t>
  </si>
  <si>
    <t>Variable Costs</t>
  </si>
  <si>
    <t>Custom Rental:</t>
  </si>
  <si>
    <t>Price</t>
  </si>
  <si>
    <t>Operating Cost Breakeven</t>
  </si>
  <si>
    <t>Ownership Cost Breakeven</t>
  </si>
  <si>
    <t>Storage Facility &amp; Equip. Repairs</t>
  </si>
  <si>
    <t>Machinery Labor</t>
  </si>
  <si>
    <t>Fuel:</t>
  </si>
  <si>
    <t>Pesticides:</t>
  </si>
  <si>
    <t>Soft White Spring Wheat (SWSW)</t>
  </si>
  <si>
    <t>Diesel, offroad, bulk (gal)</t>
  </si>
  <si>
    <t>Price/unit</t>
  </si>
  <si>
    <t>hour</t>
  </si>
  <si>
    <t>Interest:</t>
  </si>
  <si>
    <t>Operating Loan</t>
  </si>
  <si>
    <t>percent</t>
  </si>
  <si>
    <t>Total Cost Breakeven</t>
  </si>
  <si>
    <t>lb</t>
  </si>
  <si>
    <t>acre</t>
  </si>
  <si>
    <t>oz</t>
  </si>
  <si>
    <t>Crop insurance</t>
  </si>
  <si>
    <t>Cost/Acre</t>
  </si>
  <si>
    <t>Gross Returns</t>
  </si>
  <si>
    <t>Seed:</t>
  </si>
  <si>
    <t>WW, SB, G</t>
  </si>
  <si>
    <t>WW, SWSW, SC</t>
  </si>
  <si>
    <t>WW, SB, SC</t>
  </si>
  <si>
    <t>Hard Red Spring Wheat (HRSW)</t>
  </si>
  <si>
    <t>WW</t>
  </si>
  <si>
    <t>SB</t>
  </si>
  <si>
    <t>P</t>
  </si>
  <si>
    <t>L</t>
  </si>
  <si>
    <t>G</t>
  </si>
  <si>
    <t>Custom Aerial</t>
  </si>
  <si>
    <t>Since farming is inherently variable and constantly changing, we hope that this spreadsheet format will be helpful in adjusting these budgets to reflect your particular operation. Enterprise costs and returns vary from one location to the next and over time for any particular farming operation. Variability stems from differences in the following:</t>
  </si>
  <si>
    <t>• Capital, labor, and natural resources</t>
  </si>
  <si>
    <t>Fertilizer:</t>
  </si>
  <si>
    <t>Total</t>
  </si>
  <si>
    <t>Returns</t>
  </si>
  <si>
    <t>over TC</t>
  </si>
  <si>
    <t>By Crop:</t>
  </si>
  <si>
    <t>($/acre)</t>
  </si>
  <si>
    <t>Winter Wheat (WW)</t>
  </si>
  <si>
    <t>Total Fixed Costs</t>
  </si>
  <si>
    <t>Total Variable Costs</t>
  </si>
  <si>
    <t>Net Returns Above Variable Costs</t>
  </si>
  <si>
    <t>ton</t>
  </si>
  <si>
    <t>Other Labor</t>
  </si>
  <si>
    <t>Plow</t>
  </si>
  <si>
    <t>Potassium (dry)</t>
  </si>
  <si>
    <t>Quantity</t>
  </si>
  <si>
    <t>Price or</t>
  </si>
  <si>
    <t>Value or</t>
  </si>
  <si>
    <t>Item</t>
  </si>
  <si>
    <t>Achieve SC</t>
  </si>
  <si>
    <t>Amm. Sulf. (20-0-0-24)</t>
  </si>
  <si>
    <t>Osprey</t>
  </si>
  <si>
    <t>Finesse</t>
  </si>
  <si>
    <t>Maverick</t>
  </si>
  <si>
    <t>Land Cost*</t>
  </si>
  <si>
    <t xml:space="preserve">  Landlord</t>
  </si>
  <si>
    <t xml:space="preserve">  Tenant</t>
  </si>
  <si>
    <t>Harrow</t>
  </si>
  <si>
    <t>Crop Prices:</t>
  </si>
  <si>
    <t>May</t>
  </si>
  <si>
    <t>pt</t>
  </si>
  <si>
    <t xml:space="preserve">Fuel </t>
  </si>
  <si>
    <t>Lubricants</t>
  </si>
  <si>
    <t>gal</t>
  </si>
  <si>
    <t>Month</t>
  </si>
  <si>
    <t>Operation</t>
  </si>
  <si>
    <t>Tooling</t>
  </si>
  <si>
    <t>Materials/Service</t>
  </si>
  <si>
    <t>SC</t>
  </si>
  <si>
    <t>SWSW</t>
  </si>
  <si>
    <t>LEGEND:</t>
  </si>
  <si>
    <t>HRSW</t>
  </si>
  <si>
    <t>WW, HRSW, P</t>
  </si>
  <si>
    <t>WW, HRSW, L</t>
  </si>
  <si>
    <t>WW, HRSW, G</t>
  </si>
  <si>
    <t>WW, HRSW, SC</t>
  </si>
  <si>
    <t>Budget spreadsheets are available at the following link:</t>
  </si>
  <si>
    <t>Amm. Sulf. (liquid)</t>
  </si>
  <si>
    <t>Kathleen Painter, PhD</t>
  </si>
  <si>
    <t>kpainter@uidaho.edu</t>
  </si>
  <si>
    <t>Graphical Summary of Returns by Crop and Rotation ($/acre)</t>
  </si>
  <si>
    <t xml:space="preserve">  Depre-ciation</t>
  </si>
  <si>
    <t>Overhead:</t>
  </si>
  <si>
    <r>
      <rPr>
        <vertAlign val="superscript"/>
        <sz val="10"/>
        <rFont val="Arial"/>
        <family val="2"/>
      </rPr>
      <t>1</t>
    </r>
    <r>
      <rPr>
        <sz val="10"/>
        <rFont val="Arial"/>
        <family val="2"/>
      </rPr>
      <t>Includes all applicable state and federal taxes.</t>
    </r>
  </si>
  <si>
    <r>
      <rPr>
        <vertAlign val="superscript"/>
        <sz val="10"/>
        <rFont val="Arial"/>
        <family val="2"/>
      </rPr>
      <t>2</t>
    </r>
    <r>
      <rPr>
        <sz val="10"/>
        <rFont val="Arial"/>
        <family val="2"/>
      </rPr>
      <t>Covers legal, accounting, and utility fees. Calculated as percentage of operating expenses.</t>
    </r>
  </si>
  <si>
    <t>*Average of dry and liquid formulations.</t>
  </si>
  <si>
    <t>Class Act (adjuvant, antifoam)</t>
  </si>
  <si>
    <t>Bronate Advanced</t>
  </si>
  <si>
    <t>Discover .5 EC</t>
  </si>
  <si>
    <t>Poast 1.5 EC</t>
  </si>
  <si>
    <t>Prowl 3.3 EC</t>
  </si>
  <si>
    <t>Dimethoate 4EC</t>
  </si>
  <si>
    <t>Ownership Costs:</t>
  </si>
  <si>
    <t>Axial XL</t>
  </si>
  <si>
    <r>
      <t>Operating Interest</t>
    </r>
    <r>
      <rPr>
        <vertAlign val="superscript"/>
        <sz val="10"/>
        <rFont val="Arial"/>
        <family val="2"/>
      </rPr>
      <t>1</t>
    </r>
  </si>
  <si>
    <r>
      <t>Management fee</t>
    </r>
    <r>
      <rPr>
        <vertAlign val="superscript"/>
        <sz val="10"/>
        <rFont val="Arial"/>
        <family val="2"/>
      </rPr>
      <t>3</t>
    </r>
  </si>
  <si>
    <t>Other labor</t>
  </si>
  <si>
    <t>Hourly machine labor</t>
  </si>
  <si>
    <r>
      <t>Labor</t>
    </r>
    <r>
      <rPr>
        <b/>
        <vertAlign val="superscript"/>
        <sz val="10"/>
        <rFont val="Arial"/>
        <family val="2"/>
      </rPr>
      <t>1</t>
    </r>
    <r>
      <rPr>
        <b/>
        <sz val="10"/>
        <rFont val="Arial"/>
        <family val="2"/>
      </rPr>
      <t>:</t>
    </r>
  </si>
  <si>
    <t>Management fee:</t>
  </si>
  <si>
    <r>
      <rPr>
        <vertAlign val="superscript"/>
        <sz val="10"/>
        <rFont val="Arial"/>
        <family val="2"/>
      </rPr>
      <t>3</t>
    </r>
    <r>
      <rPr>
        <sz val="10"/>
        <rFont val="Arial"/>
        <family val="2"/>
      </rPr>
      <t>Calculated as a percentage of gross revenue.</t>
    </r>
  </si>
  <si>
    <t xml:space="preserve">  Lubri-cants</t>
  </si>
  <si>
    <r>
      <rPr>
        <vertAlign val="superscript"/>
        <sz val="10"/>
        <rFont val="Arial"/>
        <family val="2"/>
      </rPr>
      <t>3</t>
    </r>
    <r>
      <rPr>
        <sz val="10"/>
        <rFont val="Arial"/>
        <family val="2"/>
      </rPr>
      <t xml:space="preserve">The management fee is calculated as a 5% of gross revenue. </t>
    </r>
  </si>
  <si>
    <t xml:space="preserve">Base your rate on your soil test results. </t>
  </si>
  <si>
    <t>A typical recommendation might include the following:</t>
  </si>
  <si>
    <t>Rates &amp; chemicals will depend on the pests in your crop.</t>
  </si>
  <si>
    <t>Consult a certified pesticide applicator or the PNW Pest Control Management Guides.</t>
  </si>
  <si>
    <t>The following cost estimates are typical:</t>
  </si>
  <si>
    <t xml:space="preserve">  Taxes, Housing, Insurance, Licenses</t>
  </si>
  <si>
    <t>Cultivate</t>
  </si>
  <si>
    <t>Cash Rent</t>
  </si>
  <si>
    <t>Alfalfa Seed, Ladek</t>
  </si>
  <si>
    <t>Gypsum</t>
  </si>
  <si>
    <t>Land costs, included either as real or as opportunity costs, are based on a typical share rental arrangement. We calculate net land rental cost as a cost share as follows:</t>
  </si>
  <si>
    <t>While the owner-operator will not actually experience a land rental cost, this cost represents the minimum return owner-operators must realize to justify growing the crop themselves.  To determine the profitability of crop production relative to other activities, the owner-operator may want to consider these forgone rental returns along with the usual production expenses.</t>
  </si>
  <si>
    <t>General Assumptions:</t>
  </si>
  <si>
    <t>Please examine closely the assumptions we have used and make adjustments to reflect your particular operation. Adjustments in the variable costs can easily be made without affecting the overall accuracy of the budget information. Machinery costs are more difficult to adjust, due to the underlying complexity of machinery cost calculations. A separate machinery cost calculator program is used to develop the costs used in these budgets, which are based on specific machinery widths, tractor horsepower, type of operation, etc. The machinery cost program and data sets specific to this budget are available upon request.</t>
  </si>
  <si>
    <t>I wish to thank everyone who helped gather all of the information needed to create these worksheets. First and foremost, I thank the farmers who were willing to take the time to share their enterprise information in order to create this worksheet. Without their assistance we would not be able to provide this critical information to others. However, I take responsibility for any errors in these budgets.</t>
  </si>
  <si>
    <t>The machinery complement and associated hourly machinery cost data are in the last two sheets. The per acre machinery cost data are used to create the individualized machinery cost data for each budget, all located below the main table at the top. Machinery fixed costs include depreciation, interest, property taxes, insurance, and housing. For the overall farm operation, these costs do not vary by crop, given the ownership of a specific machinery complement, and are incurred whether or not crops are grown. Your per acre fixed costs will change if the farm size differs significantly from the size used in these budgets.</t>
  </si>
  <si>
    <r>
      <t xml:space="preserve">A typical lease agreement in the areas surveyed is a one-third land owner and two-third tenant crop share, with the land owner paying land taxes, one-third of the fertilizer cost, one-third of the chemical cost, and one-third of the crop insurance. The tenant covers all other production expenses. </t>
    </r>
    <r>
      <rPr>
        <b/>
        <sz val="10"/>
        <rFont val="Arial"/>
        <family val="2"/>
      </rPr>
      <t>This crop-share percentage can be adjusted in the Excel version of the crop worksheets files</t>
    </r>
    <r>
      <rPr>
        <sz val="10"/>
        <rFont val="Arial"/>
        <family val="2"/>
      </rPr>
      <t>. If the percentage is adjusted on the Summary tab, it is changed for all crops. If you want different crop-share percentages for different crops, adjust the percentage on the budget sheet for that crop. This valuable tool reveals how factors such as crop and input price increases as well as cropping choices affect revenue for landlords and operators differently. Note that pea, lentil, and garbanzo crop-share arrangements are typically 25/75.</t>
    </r>
  </si>
  <si>
    <t>Feed barley</t>
  </si>
  <si>
    <t>Alfalfa Seed</t>
  </si>
  <si>
    <t>Machinery Costs ($/acre)</t>
  </si>
  <si>
    <t>Note: Per hour machinery costs can be changed in this master table and they will update throughout. Per acre costs are calculated in a separate machinery cost program using the values listed in the Machinery Complement tab.</t>
  </si>
  <si>
    <t>Fixed Costs ($/acre):</t>
  </si>
  <si>
    <t>Variable Costs ($/acre):</t>
  </si>
  <si>
    <t>Interest</t>
  </si>
  <si>
    <t>Total Fixed  Costs</t>
  </si>
  <si>
    <t xml:space="preserve">  Lubricants</t>
  </si>
  <si>
    <t>Machinery costs for these implements are spread across every acre of the farm, regardless of crops produced:</t>
  </si>
  <si>
    <t>Subtotal:</t>
  </si>
  <si>
    <t>Machinery costs for these implements are specific to the operations for each crop:</t>
  </si>
  <si>
    <t>Sept</t>
  </si>
  <si>
    <t>Fertilize</t>
  </si>
  <si>
    <t>Plant</t>
  </si>
  <si>
    <t>Apr</t>
  </si>
  <si>
    <t>Swath</t>
  </si>
  <si>
    <t>Bale</t>
  </si>
  <si>
    <t>Mower/Conditioner</t>
  </si>
  <si>
    <t>Baler (16 x 18)</t>
  </si>
  <si>
    <t>Hay baler 16 x 18</t>
  </si>
  <si>
    <t>Mower/conditioner</t>
  </si>
  <si>
    <t>Baling twine</t>
  </si>
  <si>
    <t>Rake</t>
  </si>
  <si>
    <t>Side delivery rake</t>
  </si>
  <si>
    <t>Hay rake</t>
  </si>
  <si>
    <t>Amortization of establishment costs**</t>
  </si>
  <si>
    <t>**Based on years of production:</t>
  </si>
  <si>
    <t>*Based on share rent percentage:</t>
  </si>
  <si>
    <t>350HP-WT</t>
  </si>
  <si>
    <t>Note: Farm size is assumed to be 2000 acres for the purposes of machinery cost calculations.</t>
  </si>
  <si>
    <t xml:space="preserve">40' Cultivator </t>
  </si>
  <si>
    <t>20' Spike Harrow</t>
  </si>
  <si>
    <t>36' Drill</t>
  </si>
  <si>
    <t>Photo: woollydesigns.com</t>
  </si>
  <si>
    <t>Sulfur</t>
  </si>
  <si>
    <t>350HP-WT, 10-Bottom Plow</t>
  </si>
  <si>
    <t>Equipment, used with 350HP-WT:</t>
  </si>
  <si>
    <t>Equipment, used with 105HP-CT:</t>
  </si>
  <si>
    <t>105HP-CT</t>
  </si>
  <si>
    <t>Pickup 3/4 ton 4WD, newer</t>
  </si>
  <si>
    <t>Pickup 3/4 ton 4WD, older</t>
  </si>
  <si>
    <t>Tractors:</t>
  </si>
  <si>
    <t>105HP-WT + 36' Drill</t>
  </si>
  <si>
    <t>105HP-WT + 16 x 18 Baler</t>
  </si>
  <si>
    <t>105HP-WT + Mower/Conditioner</t>
  </si>
  <si>
    <t>105HP-WT + Hay Rake</t>
  </si>
  <si>
    <t>350HP-WT + 10-B Plow</t>
  </si>
  <si>
    <t>350HP-WT + 40' Cultivator</t>
  </si>
  <si>
    <t>350HP-WT + 20' Spike Harrow</t>
  </si>
  <si>
    <t>Depreci-ation</t>
  </si>
  <si>
    <t>350HP-WT + Rented Fertilizer App.</t>
  </si>
  <si>
    <t>hours</t>
  </si>
  <si>
    <t>Custom Haul &amp; Stack</t>
  </si>
  <si>
    <t>Fertilizer Rental</t>
  </si>
  <si>
    <t>Nitrogen</t>
  </si>
  <si>
    <t>Phosphorus</t>
  </si>
  <si>
    <t>The following fertilizer estimates are typical:</t>
  </si>
  <si>
    <t>Purple: Data are from Summary page (purple tab).</t>
  </si>
  <si>
    <t>Orange Cells: You may adjust data in orange type and all other data will be updated.</t>
  </si>
  <si>
    <t>Variable</t>
  </si>
  <si>
    <t xml:space="preserve">Returns </t>
  </si>
  <si>
    <t xml:space="preserve">Yield </t>
  </si>
  <si>
    <t>Price*</t>
  </si>
  <si>
    <t>Revenue</t>
  </si>
  <si>
    <t>Cost  (TC) of</t>
  </si>
  <si>
    <t>Costs (VC)</t>
  </si>
  <si>
    <t>over VC</t>
  </si>
  <si>
    <t>per acre</t>
  </si>
  <si>
    <t>per unit</t>
  </si>
  <si>
    <r>
      <t>Legend:</t>
    </r>
    <r>
      <rPr>
        <b/>
        <i/>
        <sz val="12"/>
        <rFont val="Arial"/>
        <family val="2"/>
      </rPr>
      <t xml:space="preserve"> Follow directions below to preserve equations in this spreadsheet.</t>
    </r>
  </si>
  <si>
    <t>Orange Type: You may adjust data in orange type. All other data will adjust automatically to these changes.</t>
  </si>
  <si>
    <t>Green: Data are from Input Costs page (green tab).</t>
  </si>
  <si>
    <t>Blue: Data are from the Machinery page (blue tab).</t>
  </si>
  <si>
    <t>Table 1. Summary of Returns by Crop and Rotation ($/acre)</t>
  </si>
  <si>
    <t>Crop &amp; Cost</t>
  </si>
  <si>
    <t>Share**</t>
  </si>
  <si>
    <t>Share</t>
  </si>
  <si>
    <t>Cost</t>
  </si>
  <si>
    <t>67/33</t>
  </si>
  <si>
    <t>Rented fertilizer spreader</t>
  </si>
  <si>
    <t>Phosphorous (dry)</t>
  </si>
  <si>
    <t>Sulfur (dry)</t>
  </si>
  <si>
    <t>Total Costs per Unit</t>
  </si>
  <si>
    <t>Overhead</t>
  </si>
  <si>
    <t>Management fee</t>
  </si>
  <si>
    <t>trucks</t>
  </si>
  <si>
    <t>machinery</t>
  </si>
  <si>
    <t>FUEL, LUBE</t>
  </si>
  <si>
    <t>Machinery depreciation</t>
  </si>
  <si>
    <t>Machinery interest</t>
  </si>
  <si>
    <t>Machinery insurance, taxes, housing, licenses</t>
  </si>
  <si>
    <t>S</t>
  </si>
  <si>
    <t>Stand life, in years</t>
  </si>
  <si>
    <t>2,4-DB</t>
  </si>
  <si>
    <t>Assure II EC</t>
  </si>
  <si>
    <t>FarGO 4EC</t>
  </si>
  <si>
    <t>Glyphosphate (Rup Power Max.)</t>
  </si>
  <si>
    <t>Quadris Opti</t>
  </si>
  <si>
    <t>Ally 60 XP</t>
  </si>
  <si>
    <t>Capture LFR</t>
  </si>
  <si>
    <t>Pursuit WDG</t>
  </si>
  <si>
    <t xml:space="preserve">Input costs are based on a annual survey of input suppliers for each region, available online at </t>
  </si>
  <si>
    <t>http://web.cals.uidaho.edu/idahoagbiz/enterprise-budgets/</t>
  </si>
  <si>
    <t xml:space="preserve">Crop prices are typically based on five-year average prices received by Idaho growers, with adjustments by region and for some contract crops. </t>
  </si>
  <si>
    <t xml:space="preserve">Operator </t>
  </si>
  <si>
    <t>Owner</t>
  </si>
  <si>
    <t>Alfalfa Hay Production</t>
  </si>
  <si>
    <t>Machinery Complement for Alfalfa Hay Establishment &amp; Production, Northern Idaho Counties</t>
  </si>
  <si>
    <r>
      <t xml:space="preserve">Machinery Costs for District 1 </t>
    </r>
    <r>
      <rPr>
        <b/>
        <sz val="9"/>
        <color indexed="10"/>
        <rFont val="Arial"/>
        <family val="2"/>
      </rPr>
      <t>Alfalfa Hay Establishment</t>
    </r>
    <r>
      <rPr>
        <b/>
        <sz val="9"/>
        <rFont val="Arial"/>
        <family val="2"/>
      </rPr>
      <t xml:space="preserve"> ($/acre) from the University of Idaho Machinery Cost Calculator</t>
    </r>
  </si>
  <si>
    <r>
      <t xml:space="preserve">Machinery Costs for District 1 </t>
    </r>
    <r>
      <rPr>
        <b/>
        <sz val="9"/>
        <color rgb="FFFF0000"/>
        <rFont val="Arial"/>
        <family val="2"/>
      </rPr>
      <t>Alfalfa Hay Production</t>
    </r>
    <r>
      <rPr>
        <b/>
        <sz val="9"/>
        <color indexed="10"/>
        <rFont val="Arial"/>
        <family val="2"/>
      </rPr>
      <t xml:space="preserve"> </t>
    </r>
    <r>
      <rPr>
        <b/>
        <sz val="9"/>
        <rFont val="Arial"/>
        <family val="2"/>
      </rPr>
      <t>($/acre) from the University of Idaho Machinery Cost Calculator</t>
    </r>
  </si>
  <si>
    <t>Schedule of Operations for Establishing Alfalfa Hay with Barley for District 1</t>
  </si>
  <si>
    <t>105HP-WT, 12' Cultivator</t>
  </si>
  <si>
    <t>Custom applied</t>
  </si>
  <si>
    <t>105HP-WT, 25' Spike Harrow</t>
  </si>
  <si>
    <t>16 lb alfalfa seed</t>
  </si>
  <si>
    <t>Pack</t>
  </si>
  <si>
    <t>105HP-WT, 12' Packer</t>
  </si>
  <si>
    <t>80 lb barley seed</t>
  </si>
  <si>
    <t>Harvest</t>
  </si>
  <si>
    <t>Custom Combine</t>
  </si>
  <si>
    <t>$25 per acre for custom combining</t>
  </si>
  <si>
    <t>June</t>
  </si>
  <si>
    <t>Stack</t>
  </si>
  <si>
    <t xml:space="preserve">August </t>
  </si>
  <si>
    <t>Alfalfa Hay</t>
  </si>
  <si>
    <t>Barley Seed</t>
  </si>
  <si>
    <t>Barley Seed, Feed</t>
  </si>
  <si>
    <t>Alfalfa</t>
  </si>
  <si>
    <t>Barley seeded with alfalfa</t>
  </si>
  <si>
    <t>80 lb N, 70 lb P, 20 lb S</t>
  </si>
  <si>
    <t>Custom combine</t>
  </si>
  <si>
    <t>Variable Costs per Unit</t>
  </si>
  <si>
    <t>Barley</t>
  </si>
  <si>
    <t>Note: Negative returns for the barley/alfalfa establishment year are amortized over the productive life of the stand. Thus, alfalfa hay production returns include payment for the</t>
  </si>
  <si>
    <t>establishment year.</t>
  </si>
  <si>
    <t>2015 Enterprise Budgets: District 1 Alfalfa</t>
  </si>
  <si>
    <t>Agricultural Extension Educator</t>
  </si>
  <si>
    <t>Boundary County</t>
  </si>
  <si>
    <t>PO Box 267</t>
  </si>
  <si>
    <t>Bonners Ferry ID 83805</t>
  </si>
  <si>
    <t>(208) 267-3235</t>
  </si>
  <si>
    <t>Starane Flex</t>
  </si>
  <si>
    <t>Starane NXT</t>
  </si>
  <si>
    <t>Production Costs for Alfalfa Hay Production, Two Cuttings, Northern Idaho Counties</t>
  </si>
  <si>
    <t xml:space="preserve">Mustang Max </t>
  </si>
  <si>
    <t>Mustang Maxx</t>
  </si>
  <si>
    <t>May/June</t>
  </si>
  <si>
    <t>Spray weevils</t>
  </si>
  <si>
    <t>2.24 - 4 oz per acre Mustang Max</t>
  </si>
  <si>
    <t>25 lb N, 70 lb P, 10 lb S</t>
  </si>
  <si>
    <t>Custom haul and stack</t>
  </si>
  <si>
    <t>Custom ground spray</t>
  </si>
  <si>
    <t>350HP-WT, rented fertilizer applicator</t>
  </si>
  <si>
    <t>Custom spray</t>
  </si>
  <si>
    <t>2015 Input Prices</t>
  </si>
  <si>
    <t>Crop Insurance:</t>
  </si>
  <si>
    <r>
      <t>1</t>
    </r>
    <r>
      <rPr>
        <sz val="10"/>
        <rFont val="Arial"/>
        <family val="2"/>
      </rPr>
      <t>Calculated as 5.75% interest on operating capital for 6 months.</t>
    </r>
  </si>
  <si>
    <r>
      <t>2</t>
    </r>
    <r>
      <rPr>
        <sz val="10"/>
        <rFont val="Arial"/>
        <family val="2"/>
      </rPr>
      <t>Covers legal, accounting, and utility fees. Calculated as 5% of operating expenses.</t>
    </r>
  </si>
  <si>
    <t>August</t>
  </si>
  <si>
    <t>Production Costs for Establishing Alfalfa Hay for District 1</t>
  </si>
  <si>
    <t>Schedule of Operations for Alfalfa Hay Production for District 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</si>
</sst>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8" formatCode="&quot;$&quot;#,##0.00_);[Red]\(&quot;$&quot;#,##0.00\)"/>
    <numFmt numFmtId="44" formatCode="_(&quot;$&quot;* #,##0.00_);_(&quot;$&quot;* \(#,##0.00\);_(&quot;$&quot;* &quot;-&quot;??_);_(@_)"/>
    <numFmt numFmtId="164" formatCode="&quot;$&quot;#,##0.00"/>
    <numFmt numFmtId="165" formatCode="0.0"/>
    <numFmt numFmtId="166" formatCode="&quot;$&quot;#,##0"/>
    <numFmt numFmtId="167" formatCode="0.0%"/>
  </numFmts>
  <fonts count="58" x14ac:knownFonts="1">
    <font>
      <sz val="10"/>
      <name val="Arial"/>
    </font>
    <font>
      <sz val="10"/>
      <name val="Arial"/>
      <family val="2"/>
    </font>
    <font>
      <sz val="12"/>
      <name val="Arial"/>
      <family val="2"/>
    </font>
    <font>
      <b/>
      <u/>
      <sz val="10"/>
      <name val="Arial"/>
      <family val="2"/>
    </font>
    <font>
      <u/>
      <sz val="10"/>
      <name val="Arial"/>
      <family val="2"/>
    </font>
    <font>
      <sz val="8"/>
      <name val="Arial"/>
      <family val="2"/>
    </font>
    <font>
      <b/>
      <sz val="10"/>
      <name val="Arial"/>
      <family val="2"/>
    </font>
    <font>
      <u/>
      <sz val="10"/>
      <color indexed="12"/>
      <name val="Arial"/>
      <family val="2"/>
    </font>
    <font>
      <b/>
      <sz val="12"/>
      <name val="Arial"/>
      <family val="2"/>
    </font>
    <font>
      <b/>
      <sz val="12"/>
      <color indexed="10"/>
      <name val="Arial"/>
      <family val="2"/>
    </font>
    <font>
      <sz val="11"/>
      <name val="Arial"/>
      <family val="2"/>
    </font>
    <font>
      <b/>
      <sz val="10"/>
      <name val="Arial"/>
      <family val="2"/>
    </font>
    <font>
      <i/>
      <sz val="10"/>
      <name val="Arial"/>
      <family val="2"/>
    </font>
    <font>
      <sz val="10"/>
      <name val="Arial"/>
      <family val="2"/>
    </font>
    <font>
      <b/>
      <sz val="12"/>
      <name val="Arial"/>
      <family val="2"/>
    </font>
    <font>
      <sz val="12"/>
      <name val="Arial"/>
      <family val="2"/>
    </font>
    <font>
      <b/>
      <sz val="12"/>
      <color indexed="8"/>
      <name val="Times New Roman"/>
      <family val="1"/>
    </font>
    <font>
      <b/>
      <sz val="10"/>
      <name val="Arial"/>
      <family val="2"/>
    </font>
    <font>
      <sz val="10"/>
      <color indexed="10"/>
      <name val="Arial"/>
      <family val="2"/>
    </font>
    <font>
      <sz val="9"/>
      <name val="Arial"/>
      <family val="2"/>
    </font>
    <font>
      <i/>
      <sz val="9"/>
      <name val="Arial"/>
      <family val="2"/>
    </font>
    <font>
      <sz val="9"/>
      <name val="Arial"/>
      <family val="2"/>
    </font>
    <font>
      <sz val="9"/>
      <name val="Times New Roman"/>
      <family val="1"/>
    </font>
    <font>
      <b/>
      <sz val="10"/>
      <name val="Arial"/>
      <family val="2"/>
    </font>
    <font>
      <b/>
      <sz val="10"/>
      <name val="Arial"/>
      <family val="2"/>
    </font>
    <font>
      <b/>
      <i/>
      <sz val="10"/>
      <name val="Arial"/>
      <family val="2"/>
    </font>
    <font>
      <vertAlign val="superscript"/>
      <sz val="10"/>
      <name val="Arial"/>
      <family val="2"/>
    </font>
    <font>
      <b/>
      <sz val="10"/>
      <name val="Arial"/>
      <family val="2"/>
    </font>
    <font>
      <b/>
      <sz val="9"/>
      <name val="Arial"/>
      <family val="2"/>
    </font>
    <font>
      <u/>
      <sz val="9"/>
      <color indexed="12"/>
      <name val="Arial"/>
      <family val="2"/>
    </font>
    <font>
      <b/>
      <sz val="9"/>
      <color indexed="10"/>
      <name val="Arial"/>
      <family val="2"/>
    </font>
    <font>
      <b/>
      <vertAlign val="superscript"/>
      <sz val="10"/>
      <name val="Arial"/>
      <family val="2"/>
    </font>
    <font>
      <sz val="10"/>
      <name val="Arial"/>
      <family val="2"/>
    </font>
    <font>
      <b/>
      <sz val="9"/>
      <color rgb="FFFF0000"/>
      <name val="Arial"/>
      <family val="2"/>
    </font>
    <font>
      <b/>
      <sz val="10"/>
      <color rgb="FF7030A0"/>
      <name val="Arial"/>
      <family val="2"/>
    </font>
    <font>
      <sz val="10"/>
      <color rgb="FF7030A0"/>
      <name val="Arial"/>
      <family val="2"/>
    </font>
    <font>
      <b/>
      <sz val="10"/>
      <color rgb="FFFF3300"/>
      <name val="Arial"/>
      <family val="2"/>
    </font>
    <font>
      <b/>
      <sz val="10"/>
      <color rgb="FF006600"/>
      <name val="Arial"/>
      <family val="2"/>
    </font>
    <font>
      <sz val="10"/>
      <color rgb="FF006600"/>
      <name val="Arial"/>
      <family val="2"/>
    </font>
    <font>
      <b/>
      <sz val="10"/>
      <color rgb="FF0000FF"/>
      <name val="Arial"/>
      <family val="2"/>
    </font>
    <font>
      <b/>
      <sz val="10"/>
      <color rgb="FFFF0000"/>
      <name val="Arial"/>
      <family val="2"/>
    </font>
    <font>
      <b/>
      <sz val="10"/>
      <color rgb="FF00B050"/>
      <name val="Arial"/>
      <family val="2"/>
    </font>
    <font>
      <b/>
      <sz val="10"/>
      <color rgb="FF00B0F0"/>
      <name val="Arial"/>
      <family val="2"/>
    </font>
    <font>
      <b/>
      <sz val="14"/>
      <name val="Arial"/>
      <family val="2"/>
    </font>
    <font>
      <sz val="14"/>
      <name val="Arial"/>
      <family val="2"/>
    </font>
    <font>
      <i/>
      <sz val="12"/>
      <name val="Arial"/>
      <family val="2"/>
    </font>
    <font>
      <b/>
      <i/>
      <sz val="12"/>
      <name val="Arial"/>
      <family val="2"/>
    </font>
    <font>
      <b/>
      <sz val="12"/>
      <color rgb="FF7030A0"/>
      <name val="Arial"/>
      <family val="2"/>
    </font>
    <font>
      <b/>
      <sz val="12"/>
      <color rgb="FFFF3300"/>
      <name val="Arial"/>
      <family val="2"/>
    </font>
    <font>
      <sz val="12"/>
      <color rgb="FFFF3300"/>
      <name val="Arial"/>
      <family val="2"/>
    </font>
    <font>
      <b/>
      <sz val="12"/>
      <color rgb="FF006600"/>
      <name val="Arial"/>
      <family val="2"/>
    </font>
    <font>
      <b/>
      <sz val="12"/>
      <color rgb="FF0000FF"/>
      <name val="Arial"/>
      <family val="2"/>
    </font>
    <font>
      <sz val="12"/>
      <color rgb="FF0000FF"/>
      <name val="Arial"/>
      <family val="2"/>
    </font>
    <font>
      <u/>
      <sz val="12"/>
      <color theme="4"/>
      <name val="Arial"/>
      <family val="2"/>
    </font>
    <font>
      <b/>
      <sz val="10"/>
      <color rgb="FF000099"/>
      <name val="Arial"/>
      <family val="2"/>
    </font>
    <font>
      <b/>
      <sz val="16"/>
      <color indexed="8"/>
      <name val="Times New Roman"/>
      <family val="1"/>
    </font>
    <font>
      <u/>
      <sz val="12"/>
      <color indexed="12"/>
      <name val="Arial"/>
      <family val="2"/>
    </font>
    <font>
      <b/>
      <sz val="12"/>
      <color rgb="FFFF0000"/>
      <name val="Arial"/>
      <family val="2"/>
    </font>
  </fonts>
  <fills count="13">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theme="6" tint="0.59999389629810485"/>
        <bgColor indexed="64"/>
      </patternFill>
    </fill>
    <fill>
      <patternFill patternType="solid">
        <fgColor rgb="FFFFFFCC"/>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9" fontId="32" fillId="0" borderId="0" applyFont="0" applyFill="0" applyBorder="0" applyAlignment="0" applyProtection="0"/>
  </cellStyleXfs>
  <cellXfs count="447">
    <xf numFmtId="0" fontId="0" fillId="0" borderId="0" xfId="0"/>
    <xf numFmtId="0" fontId="0" fillId="0" borderId="1" xfId="0" applyBorder="1"/>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 vertical="center"/>
    </xf>
    <xf numFmtId="0" fontId="0" fillId="3" borderId="1" xfId="0" applyFill="1" applyBorder="1"/>
    <xf numFmtId="0" fontId="3" fillId="2" borderId="0" xfId="0" applyFont="1" applyFill="1" applyBorder="1"/>
    <xf numFmtId="0" fontId="0" fillId="2" borderId="0" xfId="0" applyFill="1"/>
    <xf numFmtId="0" fontId="0" fillId="2" borderId="0" xfId="0" applyFill="1" applyAlignment="1">
      <alignment horizontal="center" vertical="center"/>
    </xf>
    <xf numFmtId="0" fontId="0" fillId="3" borderId="0" xfId="0" applyFill="1"/>
    <xf numFmtId="0" fontId="0" fillId="2" borderId="0" xfId="0" applyFill="1" applyBorder="1"/>
    <xf numFmtId="0" fontId="0" fillId="0" borderId="0" xfId="0" applyBorder="1" applyAlignment="1" applyProtection="1">
      <alignment horizontal="center" vertical="center"/>
      <protection locked="0"/>
    </xf>
    <xf numFmtId="164" fontId="0" fillId="3" borderId="0" xfId="0" applyNumberFormat="1" applyFill="1" applyBorder="1" applyProtection="1"/>
    <xf numFmtId="0" fontId="0" fillId="0" borderId="0" xfId="0" applyBorder="1"/>
    <xf numFmtId="0" fontId="0" fillId="2" borderId="0" xfId="0" applyFill="1" applyBorder="1" applyAlignment="1">
      <alignment horizontal="center" vertical="center"/>
    </xf>
    <xf numFmtId="164" fontId="0" fillId="3" borderId="0" xfId="0" applyNumberFormat="1" applyFill="1" applyProtection="1"/>
    <xf numFmtId="0" fontId="0" fillId="0" borderId="0" xfId="0" applyProtection="1">
      <protection locked="0"/>
    </xf>
    <xf numFmtId="0" fontId="0" fillId="0" borderId="0" xfId="0" applyAlignment="1" applyProtection="1">
      <alignment horizontal="center" vertical="center"/>
      <protection locked="0"/>
    </xf>
    <xf numFmtId="164" fontId="0" fillId="3" borderId="0" xfId="0" applyNumberFormat="1" applyFill="1"/>
    <xf numFmtId="0" fontId="0" fillId="0" borderId="0" xfId="0" applyAlignment="1">
      <alignment horizontal="center" vertical="center"/>
    </xf>
    <xf numFmtId="0" fontId="3" fillId="2" borderId="0" xfId="0" applyFont="1" applyFill="1"/>
    <xf numFmtId="49" fontId="0" fillId="2" borderId="0" xfId="0" applyNumberFormat="1" applyFill="1" applyAlignment="1">
      <alignment horizontal="center"/>
    </xf>
    <xf numFmtId="9" fontId="0" fillId="0" borderId="0" xfId="0" applyNumberFormat="1" applyAlignment="1" applyProtection="1">
      <alignment horizontal="center"/>
      <protection locked="0"/>
    </xf>
    <xf numFmtId="49" fontId="0" fillId="2" borderId="1" xfId="0" applyNumberFormat="1" applyFill="1" applyBorder="1" applyAlignment="1">
      <alignment horizontal="center"/>
    </xf>
    <xf numFmtId="0" fontId="4" fillId="2" borderId="0" xfId="0" applyFont="1" applyFill="1" applyAlignment="1">
      <alignment horizontal="center"/>
    </xf>
    <xf numFmtId="0" fontId="0" fillId="2" borderId="2" xfId="0" applyFill="1" applyBorder="1"/>
    <xf numFmtId="164" fontId="0" fillId="2" borderId="0" xfId="0" applyNumberFormat="1" applyFill="1" applyAlignment="1">
      <alignment horizontal="center" vertical="center"/>
    </xf>
    <xf numFmtId="164" fontId="0" fillId="2" borderId="2" xfId="0" applyNumberFormat="1" applyFill="1" applyBorder="1" applyAlignment="1">
      <alignment horizontal="center"/>
    </xf>
    <xf numFmtId="164" fontId="0" fillId="2" borderId="2" xfId="0" applyNumberFormat="1" applyFill="1" applyBorder="1" applyAlignment="1">
      <alignment horizontal="center" vertical="center"/>
    </xf>
    <xf numFmtId="0" fontId="0" fillId="0" borderId="0" xfId="0" applyFill="1"/>
    <xf numFmtId="0" fontId="0" fillId="5" borderId="3" xfId="0" applyFill="1" applyBorder="1"/>
    <xf numFmtId="0" fontId="0" fillId="5" borderId="1" xfId="0" applyFill="1" applyBorder="1"/>
    <xf numFmtId="0" fontId="0" fillId="3" borderId="3" xfId="0" applyFill="1" applyBorder="1"/>
    <xf numFmtId="0" fontId="0" fillId="2" borderId="3" xfId="0" applyFill="1" applyBorder="1"/>
    <xf numFmtId="0" fontId="0" fillId="6" borderId="0" xfId="0" applyFill="1"/>
    <xf numFmtId="0" fontId="0" fillId="6" borderId="0" xfId="0" applyFill="1" applyAlignment="1">
      <alignment horizontal="center" vertical="center"/>
    </xf>
    <xf numFmtId="164" fontId="0" fillId="6" borderId="0" xfId="0" applyNumberFormat="1" applyFill="1"/>
    <xf numFmtId="0" fontId="0" fillId="0" borderId="0" xfId="0" applyAlignment="1" applyProtection="1">
      <alignment horizontal="center"/>
      <protection locked="0"/>
    </xf>
    <xf numFmtId="0" fontId="0" fillId="2" borderId="0" xfId="0" applyFill="1" applyAlignment="1">
      <alignment horizontal="center"/>
    </xf>
    <xf numFmtId="164" fontId="0" fillId="0" borderId="0" xfId="0" applyNumberFormat="1" applyAlignment="1" applyProtection="1">
      <alignment horizontal="center"/>
      <protection locked="0"/>
    </xf>
    <xf numFmtId="0" fontId="6" fillId="6" borderId="0" xfId="0" applyFont="1" applyFill="1"/>
    <xf numFmtId="0" fontId="6" fillId="0" borderId="0" xfId="0" applyFont="1"/>
    <xf numFmtId="0" fontId="2" fillId="4" borderId="0" xfId="0" applyFont="1" applyFill="1" applyAlignment="1" applyProtection="1">
      <alignment wrapText="1"/>
      <protection locked="0"/>
    </xf>
    <xf numFmtId="0" fontId="1" fillId="0" borderId="0" xfId="0" applyFont="1"/>
    <xf numFmtId="0" fontId="6" fillId="5" borderId="0" xfId="0" applyFont="1" applyFill="1" applyAlignment="1" applyProtection="1">
      <protection locked="0"/>
    </xf>
    <xf numFmtId="0" fontId="6" fillId="2" borderId="0" xfId="0" applyFont="1" applyFill="1"/>
    <xf numFmtId="0" fontId="6" fillId="2" borderId="0" xfId="0" applyFont="1" applyFill="1" applyAlignment="1">
      <alignment horizontal="center" vertical="center"/>
    </xf>
    <xf numFmtId="164" fontId="6" fillId="3" borderId="0" xfId="0" applyNumberFormat="1" applyFont="1" applyFill="1"/>
    <xf numFmtId="0" fontId="1" fillId="0" borderId="0" xfId="0" applyFont="1" applyProtection="1">
      <protection locked="0"/>
    </xf>
    <xf numFmtId="0" fontId="0" fillId="6" borderId="0" xfId="0" applyFill="1" applyBorder="1"/>
    <xf numFmtId="0" fontId="0" fillId="6" borderId="0" xfId="0" applyFill="1" applyBorder="1" applyAlignment="1">
      <alignment horizontal="center" vertical="center"/>
    </xf>
    <xf numFmtId="0" fontId="0" fillId="6" borderId="0" xfId="0" applyFill="1" applyAlignment="1">
      <alignment horizontal="center"/>
    </xf>
    <xf numFmtId="0" fontId="0" fillId="2" borderId="0" xfId="0" applyFill="1" applyAlignment="1" applyProtection="1">
      <alignment horizontal="center"/>
      <protection locked="0"/>
    </xf>
    <xf numFmtId="0" fontId="0" fillId="0" borderId="0" xfId="0" applyAlignment="1">
      <alignment horizontal="center"/>
    </xf>
    <xf numFmtId="164" fontId="0" fillId="2" borderId="0" xfId="0" applyNumberFormat="1" applyFill="1" applyAlignment="1">
      <alignment horizontal="center"/>
    </xf>
    <xf numFmtId="0" fontId="6" fillId="2" borderId="1" xfId="0" applyFont="1" applyFill="1" applyBorder="1"/>
    <xf numFmtId="0" fontId="6" fillId="2" borderId="1" xfId="0" applyFont="1" applyFill="1" applyBorder="1" applyAlignment="1">
      <alignment horizontal="center"/>
    </xf>
    <xf numFmtId="0" fontId="6" fillId="2" borderId="1" xfId="0" applyFont="1" applyFill="1" applyBorder="1" applyAlignment="1">
      <alignment horizontal="center" vertical="center"/>
    </xf>
    <xf numFmtId="0" fontId="6" fillId="2" borderId="0" xfId="0" applyFont="1" applyFill="1" applyAlignment="1">
      <alignment horizontal="center"/>
    </xf>
    <xf numFmtId="0" fontId="9" fillId="2" borderId="0" xfId="0" applyFont="1" applyFill="1" applyAlignment="1">
      <alignment horizontal="center"/>
    </xf>
    <xf numFmtId="0" fontId="0" fillId="5" borderId="0" xfId="0" applyFill="1" applyBorder="1"/>
    <xf numFmtId="0" fontId="1" fillId="6" borderId="0" xfId="0" applyFont="1" applyFill="1"/>
    <xf numFmtId="0" fontId="1" fillId="2" borderId="0" xfId="0" applyFont="1" applyFill="1"/>
    <xf numFmtId="0" fontId="1" fillId="2" borderId="0" xfId="0" applyFont="1" applyFill="1" applyAlignment="1">
      <alignment horizontal="center" vertical="center"/>
    </xf>
    <xf numFmtId="0" fontId="0" fillId="2" borderId="0" xfId="0" applyFill="1" applyBorder="1" applyAlignment="1">
      <alignment horizontal="center"/>
    </xf>
    <xf numFmtId="16" fontId="0" fillId="2" borderId="0" xfId="0" applyNumberFormat="1" applyFill="1" applyAlignment="1">
      <alignment horizontal="center"/>
    </xf>
    <xf numFmtId="0" fontId="6" fillId="5" borderId="0" xfId="0" applyFont="1" applyFill="1" applyAlignment="1" applyProtection="1">
      <alignment horizontal="center"/>
      <protection locked="0"/>
    </xf>
    <xf numFmtId="0" fontId="1" fillId="2" borderId="0" xfId="0" applyFont="1" applyFill="1" applyAlignment="1">
      <alignment horizontal="center"/>
    </xf>
    <xf numFmtId="0" fontId="0" fillId="6" borderId="0" xfId="0" applyFill="1" applyBorder="1" applyAlignment="1">
      <alignment horizontal="center"/>
    </xf>
    <xf numFmtId="164" fontId="0" fillId="2" borderId="0" xfId="0" applyNumberFormat="1" applyFill="1" applyBorder="1" applyAlignment="1">
      <alignment horizontal="center"/>
    </xf>
    <xf numFmtId="164" fontId="0" fillId="0" borderId="0" xfId="0" applyNumberFormat="1" applyAlignment="1" applyProtection="1">
      <alignment horizontal="center"/>
    </xf>
    <xf numFmtId="0" fontId="10" fillId="6" borderId="0" xfId="0" applyFont="1" applyFill="1"/>
    <xf numFmtId="0" fontId="10" fillId="0" borderId="0" xfId="0" applyFont="1"/>
    <xf numFmtId="0" fontId="10" fillId="4" borderId="1" xfId="0" applyFont="1" applyFill="1" applyBorder="1"/>
    <xf numFmtId="0" fontId="10" fillId="4" borderId="0" xfId="0" applyFont="1" applyFill="1"/>
    <xf numFmtId="0" fontId="1" fillId="3" borderId="1" xfId="0" applyFont="1" applyFill="1" applyBorder="1"/>
    <xf numFmtId="0" fontId="2" fillId="6" borderId="0" xfId="0" applyFont="1" applyFill="1"/>
    <xf numFmtId="0" fontId="2" fillId="0" borderId="0" xfId="0" applyFont="1"/>
    <xf numFmtId="164" fontId="0" fillId="2" borderId="0" xfId="0" applyNumberFormat="1" applyFill="1" applyAlignment="1" applyProtection="1">
      <alignment horizontal="center"/>
      <protection locked="0"/>
    </xf>
    <xf numFmtId="0" fontId="0" fillId="2" borderId="0" xfId="0" applyFill="1" applyProtection="1">
      <protection locked="0"/>
    </xf>
    <xf numFmtId="164" fontId="6" fillId="3" borderId="1" xfId="0" applyNumberFormat="1" applyFont="1" applyFill="1" applyBorder="1"/>
    <xf numFmtId="0" fontId="16" fillId="6" borderId="0" xfId="0" applyFont="1" applyFill="1" applyAlignment="1">
      <alignment horizontal="center"/>
    </xf>
    <xf numFmtId="164" fontId="0" fillId="6" borderId="0" xfId="0" applyNumberFormat="1" applyFill="1" applyAlignment="1">
      <alignment horizontal="center"/>
    </xf>
    <xf numFmtId="0" fontId="1" fillId="6" borderId="0" xfId="0" applyFont="1" applyFill="1" applyBorder="1"/>
    <xf numFmtId="3" fontId="0" fillId="6" borderId="0" xfId="0" applyNumberFormat="1" applyFill="1" applyBorder="1" applyAlignment="1">
      <alignment horizontal="center"/>
    </xf>
    <xf numFmtId="0" fontId="19" fillId="6" borderId="0" xfId="0" applyFont="1" applyFill="1" applyBorder="1" applyAlignment="1">
      <alignment horizontal="center"/>
    </xf>
    <xf numFmtId="0" fontId="22" fillId="6" borderId="0" xfId="0" applyFont="1" applyFill="1" applyBorder="1"/>
    <xf numFmtId="0" fontId="1" fillId="2" borderId="4" xfId="0" applyFont="1" applyFill="1" applyBorder="1"/>
    <xf numFmtId="0" fontId="1" fillId="2" borderId="5" xfId="0" applyFont="1" applyFill="1" applyBorder="1"/>
    <xf numFmtId="0" fontId="6" fillId="2" borderId="5" xfId="0" applyFont="1" applyFill="1" applyBorder="1" applyAlignment="1">
      <alignment horizontal="center"/>
    </xf>
    <xf numFmtId="0" fontId="1" fillId="2" borderId="6" xfId="0" applyFont="1" applyFill="1" applyBorder="1"/>
    <xf numFmtId="0" fontId="1" fillId="2" borderId="7" xfId="0" applyFont="1" applyFill="1" applyBorder="1"/>
    <xf numFmtId="0" fontId="1" fillId="2" borderId="8" xfId="0" applyFont="1" applyFill="1" applyBorder="1"/>
    <xf numFmtId="0" fontId="6" fillId="2" borderId="8" xfId="0" applyFont="1" applyFill="1" applyBorder="1" applyAlignment="1">
      <alignment horizontal="center"/>
    </xf>
    <xf numFmtId="0" fontId="1" fillId="2" borderId="9" xfId="0" applyFont="1" applyFill="1" applyBorder="1"/>
    <xf numFmtId="3" fontId="1" fillId="2" borderId="7" xfId="0" applyNumberFormat="1" applyFont="1" applyFill="1" applyBorder="1" applyAlignment="1">
      <alignment horizontal="center"/>
    </xf>
    <xf numFmtId="3" fontId="1" fillId="2" borderId="8" xfId="0" applyNumberFormat="1" applyFont="1" applyFill="1" applyBorder="1" applyAlignment="1">
      <alignment horizontal="center"/>
    </xf>
    <xf numFmtId="3" fontId="6" fillId="2" borderId="8" xfId="0" applyNumberFormat="1" applyFont="1" applyFill="1" applyBorder="1" applyAlignment="1">
      <alignment horizontal="center"/>
    </xf>
    <xf numFmtId="3" fontId="6" fillId="2" borderId="9" xfId="0" applyNumberFormat="1"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6" fillId="2" borderId="9" xfId="0" applyFont="1" applyFill="1" applyBorder="1" applyAlignment="1">
      <alignment horizontal="center"/>
    </xf>
    <xf numFmtId="0" fontId="6" fillId="2" borderId="7" xfId="0" applyFont="1" applyFill="1" applyBorder="1" applyAlignment="1">
      <alignment horizontal="center"/>
    </xf>
    <xf numFmtId="0" fontId="6" fillId="2" borderId="7" xfId="0" applyFont="1" applyFill="1" applyBorder="1"/>
    <xf numFmtId="0" fontId="21" fillId="7" borderId="10" xfId="0" applyFont="1" applyFill="1" applyBorder="1"/>
    <xf numFmtId="3" fontId="21" fillId="7" borderId="10" xfId="0" applyNumberFormat="1" applyFont="1" applyFill="1" applyBorder="1" applyAlignment="1">
      <alignment horizontal="center"/>
    </xf>
    <xf numFmtId="0" fontId="19" fillId="7" borderId="10" xfId="0" applyFont="1" applyFill="1" applyBorder="1" applyAlignment="1">
      <alignment horizontal="center"/>
    </xf>
    <xf numFmtId="0" fontId="21" fillId="7" borderId="10" xfId="0" applyFont="1" applyFill="1" applyBorder="1" applyAlignment="1">
      <alignment horizontal="center"/>
    </xf>
    <xf numFmtId="3" fontId="21" fillId="7" borderId="10" xfId="0" applyNumberFormat="1" applyFont="1" applyFill="1" applyBorder="1" applyAlignment="1">
      <alignment horizontal="right"/>
    </xf>
    <xf numFmtId="0" fontId="21" fillId="7" borderId="10" xfId="0" applyFont="1" applyFill="1" applyBorder="1" applyAlignment="1">
      <alignment horizontal="right"/>
    </xf>
    <xf numFmtId="3" fontId="0" fillId="7" borderId="10" xfId="0" applyNumberFormat="1" applyFill="1" applyBorder="1" applyAlignment="1">
      <alignment horizontal="center"/>
    </xf>
    <xf numFmtId="0" fontId="0" fillId="7" borderId="10" xfId="0" applyFill="1" applyBorder="1" applyAlignment="1">
      <alignment horizontal="center"/>
    </xf>
    <xf numFmtId="0" fontId="19" fillId="7" borderId="10" xfId="0" applyFont="1" applyFill="1" applyBorder="1" applyAlignment="1"/>
    <xf numFmtId="0" fontId="20" fillId="7" borderId="11" xfId="0" applyFont="1" applyFill="1" applyBorder="1"/>
    <xf numFmtId="3" fontId="21" fillId="7" borderId="2" xfId="0" applyNumberFormat="1" applyFont="1" applyFill="1" applyBorder="1" applyAlignment="1">
      <alignment horizontal="center"/>
    </xf>
    <xf numFmtId="0" fontId="19" fillId="7" borderId="2" xfId="0" applyFont="1" applyFill="1" applyBorder="1" applyAlignment="1">
      <alignment horizontal="center"/>
    </xf>
    <xf numFmtId="0" fontId="21" fillId="7" borderId="2" xfId="0" applyFont="1" applyFill="1" applyBorder="1" applyAlignment="1">
      <alignment horizontal="center"/>
    </xf>
    <xf numFmtId="0" fontId="21" fillId="7" borderId="2" xfId="0" applyFont="1" applyFill="1" applyBorder="1" applyAlignment="1">
      <alignment horizontal="right"/>
    </xf>
    <xf numFmtId="0" fontId="21" fillId="7" borderId="12" xfId="0" applyFont="1" applyFill="1" applyBorder="1" applyAlignment="1">
      <alignment horizontal="right"/>
    </xf>
    <xf numFmtId="0" fontId="1" fillId="0" borderId="0" xfId="0" applyFont="1" applyFill="1" applyProtection="1">
      <protection locked="0"/>
    </xf>
    <xf numFmtId="165" fontId="0" fillId="2" borderId="2" xfId="0" applyNumberFormat="1" applyFill="1" applyBorder="1" applyAlignment="1">
      <alignment horizontal="center"/>
    </xf>
    <xf numFmtId="164" fontId="23" fillId="3" borderId="0" xfId="0" applyNumberFormat="1" applyFont="1" applyFill="1" applyBorder="1" applyAlignment="1">
      <alignment horizontal="left"/>
    </xf>
    <xf numFmtId="164" fontId="23" fillId="3" borderId="1" xfId="0" applyNumberFormat="1" applyFont="1" applyFill="1" applyBorder="1" applyAlignment="1">
      <alignment horizontal="center"/>
    </xf>
    <xf numFmtId="164" fontId="23" fillId="3" borderId="1" xfId="0" applyNumberFormat="1" applyFont="1" applyFill="1" applyBorder="1" applyAlignment="1">
      <alignment horizontal="left"/>
    </xf>
    <xf numFmtId="164" fontId="27" fillId="3" borderId="13" xfId="0" applyNumberFormat="1" applyFont="1" applyFill="1" applyBorder="1" applyAlignment="1">
      <alignment horizontal="left"/>
    </xf>
    <xf numFmtId="164" fontId="18" fillId="3" borderId="6" xfId="0" applyNumberFormat="1" applyFont="1" applyFill="1" applyBorder="1" applyAlignment="1">
      <alignment horizontal="center"/>
    </xf>
    <xf numFmtId="164" fontId="27" fillId="3" borderId="14" xfId="0" applyNumberFormat="1" applyFont="1" applyFill="1" applyBorder="1" applyAlignment="1">
      <alignment horizontal="left"/>
    </xf>
    <xf numFmtId="164" fontId="18" fillId="3" borderId="5" xfId="0" applyNumberFormat="1" applyFont="1" applyFill="1" applyBorder="1" applyAlignment="1">
      <alignment horizontal="center"/>
    </xf>
    <xf numFmtId="0" fontId="17" fillId="7" borderId="14" xfId="0" applyFont="1" applyFill="1" applyBorder="1"/>
    <xf numFmtId="0" fontId="0" fillId="7" borderId="0" xfId="0" applyFill="1" applyBorder="1"/>
    <xf numFmtId="0" fontId="0" fillId="7" borderId="14" xfId="0" applyFill="1" applyBorder="1"/>
    <xf numFmtId="0" fontId="0" fillId="7" borderId="13" xfId="0" applyFill="1" applyBorder="1"/>
    <xf numFmtId="0" fontId="0" fillId="7" borderId="1" xfId="0" applyFill="1" applyBorder="1"/>
    <xf numFmtId="0" fontId="6" fillId="7" borderId="14" xfId="0" applyFont="1" applyFill="1" applyBorder="1"/>
    <xf numFmtId="0" fontId="0" fillId="7" borderId="5" xfId="0" applyFill="1" applyBorder="1"/>
    <xf numFmtId="164" fontId="18" fillId="7" borderId="5" xfId="0" applyNumberFormat="1" applyFont="1" applyFill="1" applyBorder="1" applyAlignment="1">
      <alignment horizontal="center"/>
    </xf>
    <xf numFmtId="164" fontId="1" fillId="7" borderId="5" xfId="0" applyNumberFormat="1" applyFont="1" applyFill="1" applyBorder="1" applyAlignment="1">
      <alignment horizontal="center"/>
    </xf>
    <xf numFmtId="164" fontId="1" fillId="7" borderId="6" xfId="0" applyNumberFormat="1" applyFont="1" applyFill="1" applyBorder="1" applyAlignment="1">
      <alignment horizontal="center"/>
    </xf>
    <xf numFmtId="0" fontId="10" fillId="6" borderId="1" xfId="0" applyFont="1" applyFill="1" applyBorder="1"/>
    <xf numFmtId="0" fontId="10" fillId="6" borderId="1" xfId="0" applyFont="1" applyFill="1" applyBorder="1" applyAlignment="1">
      <alignment horizontal="center"/>
    </xf>
    <xf numFmtId="0" fontId="10" fillId="6" borderId="1" xfId="0" applyFont="1" applyFill="1" applyBorder="1" applyAlignment="1">
      <alignment horizontal="center" vertical="center"/>
    </xf>
    <xf numFmtId="0" fontId="0" fillId="6" borderId="1" xfId="0" applyFill="1" applyBorder="1" applyAlignment="1"/>
    <xf numFmtId="0" fontId="8" fillId="6" borderId="1" xfId="0" applyFont="1" applyFill="1" applyBorder="1" applyAlignment="1">
      <alignment wrapText="1"/>
    </xf>
    <xf numFmtId="0" fontId="2" fillId="7" borderId="0" xfId="0" applyFont="1" applyFill="1"/>
    <xf numFmtId="0" fontId="8" fillId="6" borderId="1" xfId="0" applyFont="1" applyFill="1" applyBorder="1" applyAlignment="1" applyProtection="1">
      <protection locked="0"/>
    </xf>
    <xf numFmtId="0" fontId="2" fillId="6" borderId="1" xfId="0" applyFont="1" applyFill="1" applyBorder="1" applyAlignment="1" applyProtection="1">
      <alignment wrapText="1"/>
      <protection locked="0"/>
    </xf>
    <xf numFmtId="0" fontId="2" fillId="6" borderId="1" xfId="0" applyFont="1" applyFill="1" applyBorder="1" applyAlignment="1" applyProtection="1">
      <alignment horizontal="center" wrapText="1"/>
      <protection locked="0"/>
    </xf>
    <xf numFmtId="0" fontId="12" fillId="6" borderId="0" xfId="0" applyFont="1" applyFill="1" applyBorder="1"/>
    <xf numFmtId="0" fontId="1" fillId="7" borderId="14" xfId="0" applyFont="1" applyFill="1" applyBorder="1"/>
    <xf numFmtId="0" fontId="1" fillId="7" borderId="0" xfId="0" applyFont="1" applyFill="1" applyBorder="1" applyAlignment="1">
      <alignment horizontal="left"/>
    </xf>
    <xf numFmtId="0" fontId="0" fillId="0" borderId="0" xfId="0" applyFill="1" applyAlignment="1" applyProtection="1">
      <alignment horizontal="center"/>
      <protection locked="0"/>
    </xf>
    <xf numFmtId="164" fontId="0" fillId="0" borderId="0" xfId="0" applyNumberFormat="1" applyFill="1" applyAlignment="1" applyProtection="1">
      <alignment horizontal="center"/>
    </xf>
    <xf numFmtId="39" fontId="0" fillId="0" borderId="0" xfId="0" applyNumberFormat="1" applyFill="1" applyAlignment="1" applyProtection="1">
      <alignment horizontal="center"/>
    </xf>
    <xf numFmtId="164" fontId="0" fillId="0" borderId="0" xfId="0" applyNumberFormat="1" applyFill="1" applyAlignment="1" applyProtection="1">
      <alignment horizontal="center"/>
      <protection locked="0"/>
    </xf>
    <xf numFmtId="0" fontId="0" fillId="6" borderId="0" xfId="0" applyFill="1"/>
    <xf numFmtId="0" fontId="1" fillId="6" borderId="0" xfId="0" applyFont="1" applyFill="1" applyAlignment="1">
      <alignment horizontal="center"/>
    </xf>
    <xf numFmtId="0" fontId="7" fillId="6" borderId="0" xfId="1" applyFill="1" applyAlignment="1" applyProtection="1">
      <alignment horizontal="center"/>
    </xf>
    <xf numFmtId="0" fontId="7" fillId="0" borderId="0" xfId="1" applyAlignment="1" applyProtection="1"/>
    <xf numFmtId="0" fontId="0" fillId="8" borderId="0" xfId="0" applyFill="1"/>
    <xf numFmtId="0" fontId="1" fillId="8" borderId="0" xfId="0" applyFont="1" applyFill="1"/>
    <xf numFmtId="1" fontId="0" fillId="8" borderId="0" xfId="0" applyNumberFormat="1" applyFill="1" applyAlignment="1">
      <alignment horizontal="center"/>
    </xf>
    <xf numFmtId="2" fontId="0" fillId="8" borderId="0" xfId="0" applyNumberFormat="1" applyFill="1"/>
    <xf numFmtId="0" fontId="0" fillId="8" borderId="0" xfId="0" applyFill="1" applyAlignment="1">
      <alignment vertical="center"/>
    </xf>
    <xf numFmtId="0" fontId="11" fillId="8" borderId="0" xfId="0" applyFont="1" applyFill="1" applyBorder="1" applyAlignment="1">
      <alignment horizontal="left"/>
    </xf>
    <xf numFmtId="2" fontId="11" fillId="8" borderId="0" xfId="0" applyNumberFormat="1" applyFont="1" applyFill="1"/>
    <xf numFmtId="0" fontId="3" fillId="8" borderId="0" xfId="0" applyFont="1" applyFill="1" applyAlignment="1">
      <alignment horizontal="center"/>
    </xf>
    <xf numFmtId="0" fontId="0" fillId="8" borderId="0" xfId="0" applyFill="1" applyAlignment="1" applyProtection="1">
      <alignment horizontal="center"/>
      <protection locked="0"/>
    </xf>
    <xf numFmtId="166" fontId="0" fillId="8" borderId="0" xfId="0" applyNumberFormat="1" applyFill="1"/>
    <xf numFmtId="0" fontId="14" fillId="8" borderId="0" xfId="0" applyFont="1" applyFill="1"/>
    <xf numFmtId="0" fontId="15" fillId="8" borderId="0" xfId="0" applyFont="1" applyFill="1"/>
    <xf numFmtId="0" fontId="0" fillId="8" borderId="0" xfId="0" applyFill="1" applyAlignment="1">
      <alignment horizontal="center"/>
    </xf>
    <xf numFmtId="164" fontId="0" fillId="8" borderId="0" xfId="0" applyNumberFormat="1" applyFill="1" applyAlignment="1"/>
    <xf numFmtId="0" fontId="11" fillId="8" borderId="0" xfId="0" applyFont="1" applyFill="1"/>
    <xf numFmtId="0" fontId="6" fillId="8" borderId="0" xfId="0" applyFont="1" applyFill="1" applyAlignment="1">
      <alignment horizontal="center"/>
    </xf>
    <xf numFmtId="0" fontId="11" fillId="8" borderId="0" xfId="0" applyFont="1" applyFill="1" applyProtection="1">
      <protection locked="0"/>
    </xf>
    <xf numFmtId="164" fontId="0" fillId="8" borderId="0" xfId="0" applyNumberFormat="1" applyFill="1" applyAlignment="1">
      <alignment horizontal="center"/>
    </xf>
    <xf numFmtId="0" fontId="13" fillId="8" borderId="0" xfId="0" applyFont="1" applyFill="1" applyAlignment="1">
      <alignment horizontal="center"/>
    </xf>
    <xf numFmtId="0" fontId="24" fillId="8" borderId="0" xfId="0" applyFont="1" applyFill="1"/>
    <xf numFmtId="166" fontId="11" fillId="8" borderId="0" xfId="0" applyNumberFormat="1" applyFont="1" applyFill="1"/>
    <xf numFmtId="0" fontId="0" fillId="8" borderId="0" xfId="0" applyFill="1" applyAlignment="1">
      <alignment vertical="center"/>
    </xf>
    <xf numFmtId="0" fontId="8" fillId="8" borderId="0" xfId="0" applyFont="1" applyFill="1" applyBorder="1" applyAlignment="1">
      <alignment vertical="center"/>
    </xf>
    <xf numFmtId="0" fontId="19" fillId="6" borderId="0" xfId="0" applyFont="1" applyFill="1"/>
    <xf numFmtId="0" fontId="19" fillId="2" borderId="7" xfId="0" applyFont="1" applyFill="1" applyBorder="1"/>
    <xf numFmtId="0" fontId="19" fillId="2" borderId="8" xfId="0" applyFont="1" applyFill="1" applyBorder="1"/>
    <xf numFmtId="0" fontId="19" fillId="3" borderId="7" xfId="0" applyFont="1" applyFill="1" applyBorder="1" applyAlignment="1">
      <alignment horizontal="center"/>
    </xf>
    <xf numFmtId="0" fontId="19" fillId="2" borderId="9" xfId="0" applyFont="1" applyFill="1" applyBorder="1"/>
    <xf numFmtId="0" fontId="19" fillId="2" borderId="9" xfId="0" applyFont="1" applyFill="1" applyBorder="1" applyAlignment="1">
      <alignment wrapText="1"/>
    </xf>
    <xf numFmtId="0" fontId="19" fillId="3" borderId="9" xfId="0" applyFont="1" applyFill="1" applyBorder="1"/>
    <xf numFmtId="2" fontId="19" fillId="2" borderId="9" xfId="0" applyNumberFormat="1" applyFont="1" applyFill="1" applyBorder="1" applyAlignment="1">
      <alignment horizontal="center" wrapText="1"/>
    </xf>
    <xf numFmtId="0" fontId="19" fillId="3" borderId="8" xfId="0" applyFont="1" applyFill="1" applyBorder="1" applyAlignment="1">
      <alignment horizontal="center"/>
    </xf>
    <xf numFmtId="0" fontId="19" fillId="7" borderId="10" xfId="0" applyFont="1" applyFill="1" applyBorder="1"/>
    <xf numFmtId="0" fontId="28" fillId="2" borderId="10" xfId="0" applyFont="1" applyFill="1" applyBorder="1"/>
    <xf numFmtId="7" fontId="28" fillId="2" borderId="10" xfId="0" applyNumberFormat="1" applyFont="1" applyFill="1" applyBorder="1" applyAlignment="1">
      <alignment horizontal="center"/>
    </xf>
    <xf numFmtId="0" fontId="19" fillId="2" borderId="7" xfId="0" applyFont="1" applyFill="1" applyBorder="1" applyAlignment="1">
      <alignment horizontal="center"/>
    </xf>
    <xf numFmtId="7" fontId="20" fillId="7" borderId="2" xfId="0" applyNumberFormat="1" applyFont="1" applyFill="1" applyBorder="1" applyAlignment="1">
      <alignment horizontal="center"/>
    </xf>
    <xf numFmtId="7" fontId="20" fillId="7" borderId="12" xfId="0" applyNumberFormat="1" applyFont="1" applyFill="1" applyBorder="1" applyAlignment="1">
      <alignment horizontal="center"/>
    </xf>
    <xf numFmtId="0" fontId="29" fillId="6" borderId="0" xfId="1" applyFont="1" applyFill="1" applyAlignment="1" applyProtection="1"/>
    <xf numFmtId="0" fontId="0" fillId="6" borderId="0" xfId="0" applyFill="1"/>
    <xf numFmtId="0" fontId="0" fillId="6" borderId="0" xfId="0" applyFill="1"/>
    <xf numFmtId="0" fontId="1" fillId="7" borderId="0" xfId="0" applyFont="1" applyFill="1" applyBorder="1"/>
    <xf numFmtId="0" fontId="1" fillId="0" borderId="0" xfId="0" applyFont="1" applyAlignment="1" applyProtection="1">
      <alignment horizontal="center" vertical="center"/>
      <protection locked="0"/>
    </xf>
    <xf numFmtId="0" fontId="0" fillId="6" borderId="0" xfId="0" applyFill="1"/>
    <xf numFmtId="0" fontId="0" fillId="6" borderId="0" xfId="0" applyFill="1"/>
    <xf numFmtId="0" fontId="0" fillId="0" borderId="0" xfId="0" applyAlignment="1"/>
    <xf numFmtId="0" fontId="0" fillId="0" borderId="0" xfId="0" applyAlignment="1">
      <alignment horizontal="center"/>
    </xf>
    <xf numFmtId="0" fontId="0" fillId="6" borderId="0" xfId="0" applyFill="1"/>
    <xf numFmtId="0" fontId="0" fillId="6" borderId="0" xfId="0" applyFill="1" applyAlignment="1"/>
    <xf numFmtId="0" fontId="0" fillId="6" borderId="0" xfId="0" applyFill="1" applyBorder="1" applyAlignment="1"/>
    <xf numFmtId="0" fontId="12" fillId="2" borderId="0" xfId="0" applyFont="1" applyFill="1"/>
    <xf numFmtId="164" fontId="1" fillId="2" borderId="0" xfId="0" applyNumberFormat="1" applyFont="1" applyFill="1" applyAlignment="1">
      <alignment horizontal="center"/>
    </xf>
    <xf numFmtId="164" fontId="1" fillId="3" borderId="0" xfId="0" applyNumberFormat="1" applyFont="1" applyFill="1" applyAlignment="1" applyProtection="1">
      <alignment horizontal="left"/>
    </xf>
    <xf numFmtId="164" fontId="1" fillId="6" borderId="0" xfId="0" applyNumberFormat="1" applyFont="1" applyFill="1"/>
    <xf numFmtId="164" fontId="1" fillId="3" borderId="0" xfId="0" applyNumberFormat="1" applyFont="1" applyFill="1" applyAlignment="1">
      <alignment horizontal="left"/>
    </xf>
    <xf numFmtId="0" fontId="7" fillId="6" borderId="0" xfId="1" applyFill="1" applyAlignment="1" applyProtection="1">
      <alignment horizontal="left"/>
    </xf>
    <xf numFmtId="0" fontId="7" fillId="6" borderId="0" xfId="1" applyFill="1" applyAlignment="1" applyProtection="1"/>
    <xf numFmtId="0" fontId="19" fillId="9" borderId="7" xfId="0" applyFont="1" applyFill="1" applyBorder="1" applyAlignment="1">
      <alignment horizontal="center" wrapText="1"/>
    </xf>
    <xf numFmtId="2" fontId="19" fillId="9" borderId="9" xfId="0" applyNumberFormat="1" applyFont="1" applyFill="1" applyBorder="1" applyAlignment="1">
      <alignment horizontal="center" wrapText="1"/>
    </xf>
    <xf numFmtId="164" fontId="6" fillId="3" borderId="0" xfId="0" applyNumberFormat="1" applyFont="1" applyFill="1" applyAlignment="1">
      <alignment horizontal="left"/>
    </xf>
    <xf numFmtId="164" fontId="6" fillId="3" borderId="0" xfId="0" applyNumberFormat="1" applyFont="1" applyFill="1" applyAlignment="1" applyProtection="1">
      <alignment horizontal="left"/>
    </xf>
    <xf numFmtId="0" fontId="1" fillId="5" borderId="1" xfId="0" applyFont="1" applyFill="1" applyBorder="1"/>
    <xf numFmtId="0" fontId="1" fillId="0" borderId="0" xfId="0" applyFont="1" applyBorder="1" applyProtection="1">
      <protection locked="0"/>
    </xf>
    <xf numFmtId="0" fontId="8" fillId="6" borderId="0" xfId="0" applyFont="1" applyFill="1" applyBorder="1"/>
    <xf numFmtId="0" fontId="6" fillId="6" borderId="0" xfId="0" applyFont="1" applyFill="1" applyBorder="1"/>
    <xf numFmtId="0" fontId="8" fillId="6" borderId="1" xfId="0" applyFont="1" applyFill="1" applyBorder="1"/>
    <xf numFmtId="0" fontId="6" fillId="6" borderId="1" xfId="0" applyFont="1" applyFill="1" applyBorder="1"/>
    <xf numFmtId="0" fontId="1" fillId="0" borderId="0" xfId="0" applyFont="1" applyFill="1" applyAlignment="1" applyProtection="1">
      <protection locked="0"/>
    </xf>
    <xf numFmtId="0" fontId="8" fillId="8" borderId="1" xfId="0" applyFont="1" applyFill="1" applyBorder="1" applyAlignment="1"/>
    <xf numFmtId="0" fontId="8" fillId="4" borderId="0" xfId="0" applyFont="1" applyFill="1" applyBorder="1" applyAlignment="1"/>
    <xf numFmtId="0" fontId="1" fillId="4" borderId="0" xfId="0" applyFont="1" applyFill="1" applyBorder="1"/>
    <xf numFmtId="0" fontId="0" fillId="4" borderId="0" xfId="0" applyFill="1" applyAlignment="1"/>
    <xf numFmtId="0" fontId="6" fillId="4" borderId="0" xfId="0" applyFont="1" applyFill="1"/>
    <xf numFmtId="0" fontId="7" fillId="4" borderId="0" xfId="1" applyFill="1" applyAlignment="1" applyProtection="1"/>
    <xf numFmtId="0" fontId="0" fillId="8" borderId="0" xfId="0" applyFill="1" applyAlignment="1"/>
    <xf numFmtId="0" fontId="7" fillId="4" borderId="0" xfId="1" applyFill="1" applyBorder="1" applyAlignment="1" applyProtection="1">
      <alignment wrapText="1"/>
    </xf>
    <xf numFmtId="0" fontId="1" fillId="4" borderId="0" xfId="0" applyFont="1" applyFill="1" applyBorder="1" applyAlignment="1">
      <alignment wrapText="1"/>
    </xf>
    <xf numFmtId="0" fontId="1" fillId="4" borderId="0" xfId="0" applyFont="1" applyFill="1" applyBorder="1" applyAlignment="1"/>
    <xf numFmtId="0" fontId="0" fillId="6" borderId="0" xfId="0" applyFill="1"/>
    <xf numFmtId="0" fontId="0" fillId="0" borderId="0" xfId="0" applyNumberFormat="1" applyFill="1" applyAlignment="1" applyProtection="1">
      <alignment horizontal="center"/>
      <protection locked="0"/>
    </xf>
    <xf numFmtId="0" fontId="2" fillId="7" borderId="0" xfId="0" applyFont="1" applyFill="1" applyBorder="1"/>
    <xf numFmtId="0" fontId="2" fillId="7" borderId="3" xfId="0" applyFont="1" applyFill="1" applyBorder="1"/>
    <xf numFmtId="0" fontId="2" fillId="7" borderId="1" xfId="0" applyFont="1" applyFill="1" applyBorder="1"/>
    <xf numFmtId="0" fontId="2" fillId="7" borderId="0" xfId="0" applyFont="1" applyFill="1" applyBorder="1" applyAlignment="1">
      <alignment horizontal="center"/>
    </xf>
    <xf numFmtId="0" fontId="2" fillId="7" borderId="3" xfId="0" applyFont="1" applyFill="1" applyBorder="1" applyAlignment="1">
      <alignment horizontal="center"/>
    </xf>
    <xf numFmtId="0" fontId="2" fillId="7" borderId="0" xfId="0" applyFont="1" applyFill="1" applyBorder="1" applyAlignment="1">
      <alignment horizontal="left" indent="1"/>
    </xf>
    <xf numFmtId="0" fontId="0" fillId="6" borderId="0" xfId="0" applyFill="1"/>
    <xf numFmtId="0" fontId="0" fillId="6" borderId="0" xfId="0" applyFill="1"/>
    <xf numFmtId="0" fontId="19" fillId="2" borderId="7" xfId="0" applyFont="1" applyFill="1" applyBorder="1" applyAlignment="1">
      <alignment horizontal="center" wrapText="1"/>
    </xf>
    <xf numFmtId="0" fontId="19" fillId="2" borderId="4" xfId="0" applyFont="1" applyFill="1" applyBorder="1" applyAlignment="1">
      <alignment horizontal="center"/>
    </xf>
    <xf numFmtId="0" fontId="19" fillId="3" borderId="7" xfId="0" applyFont="1" applyFill="1" applyBorder="1" applyAlignment="1">
      <alignment horizontal="center" wrapText="1"/>
    </xf>
    <xf numFmtId="0" fontId="0" fillId="6" borderId="0" xfId="0" applyFill="1"/>
    <xf numFmtId="0" fontId="0" fillId="6" borderId="0" xfId="0" applyFill="1" applyAlignment="1"/>
    <xf numFmtId="0" fontId="20" fillId="7" borderId="10" xfId="0" applyFont="1" applyFill="1" applyBorder="1" applyAlignment="1"/>
    <xf numFmtId="0" fontId="0" fillId="7" borderId="10" xfId="0" applyFill="1" applyBorder="1" applyAlignment="1"/>
    <xf numFmtId="0" fontId="2" fillId="9" borderId="3" xfId="0" applyFont="1" applyFill="1" applyBorder="1"/>
    <xf numFmtId="0" fontId="2" fillId="9" borderId="0" xfId="0" applyFont="1" applyFill="1" applyBorder="1" applyAlignment="1">
      <alignment horizontal="left" indent="1"/>
    </xf>
    <xf numFmtId="0" fontId="2" fillId="9" borderId="0" xfId="0" applyFont="1" applyFill="1" applyBorder="1"/>
    <xf numFmtId="0" fontId="2" fillId="9" borderId="0" xfId="0" applyFont="1" applyFill="1" applyBorder="1" applyAlignment="1">
      <alignment horizontal="center"/>
    </xf>
    <xf numFmtId="0" fontId="2" fillId="9" borderId="1" xfId="0" applyFont="1" applyFill="1" applyBorder="1"/>
    <xf numFmtId="0" fontId="2" fillId="10" borderId="3" xfId="0" applyFont="1" applyFill="1" applyBorder="1" applyAlignment="1">
      <alignment horizontal="center"/>
    </xf>
    <xf numFmtId="0" fontId="2" fillId="10" borderId="0" xfId="0" applyFont="1" applyFill="1" applyBorder="1" applyAlignment="1">
      <alignment horizontal="center"/>
    </xf>
    <xf numFmtId="0" fontId="2" fillId="10" borderId="1" xfId="0" applyFont="1" applyFill="1" applyBorder="1"/>
    <xf numFmtId="0" fontId="12" fillId="6" borderId="0" xfId="0" applyFont="1" applyFill="1"/>
    <xf numFmtId="0" fontId="6" fillId="2" borderId="3" xfId="0" applyFont="1" applyFill="1" applyBorder="1" applyAlignment="1">
      <alignment horizontal="center"/>
    </xf>
    <xf numFmtId="0" fontId="6" fillId="2" borderId="4" xfId="0" applyFont="1" applyFill="1" applyBorder="1" applyAlignment="1">
      <alignment horizontal="center"/>
    </xf>
    <xf numFmtId="0" fontId="1" fillId="2" borderId="7" xfId="0" applyFont="1" applyFill="1" applyBorder="1" applyAlignment="1">
      <alignment horizontal="center" wrapText="1"/>
    </xf>
    <xf numFmtId="0" fontId="1" fillId="2" borderId="8" xfId="0" applyFont="1" applyFill="1" applyBorder="1" applyAlignment="1">
      <alignment horizontal="center" wrapText="1"/>
    </xf>
    <xf numFmtId="2" fontId="1" fillId="2" borderId="9" xfId="0" applyNumberFormat="1" applyFont="1" applyFill="1" applyBorder="1" applyAlignment="1">
      <alignment horizontal="center" wrapText="1"/>
    </xf>
    <xf numFmtId="0" fontId="1" fillId="3" borderId="8" xfId="0" applyFont="1" applyFill="1" applyBorder="1" applyAlignment="1">
      <alignment horizontal="center"/>
    </xf>
    <xf numFmtId="0" fontId="1" fillId="11" borderId="10" xfId="0" applyFont="1" applyFill="1" applyBorder="1"/>
    <xf numFmtId="7" fontId="1" fillId="11" borderId="11" xfId="0" applyNumberFormat="1" applyFont="1" applyFill="1" applyBorder="1" applyAlignment="1">
      <alignment horizontal="center"/>
    </xf>
    <xf numFmtId="7" fontId="1" fillId="11" borderId="10" xfId="0" applyNumberFormat="1" applyFont="1" applyFill="1" applyBorder="1" applyAlignment="1">
      <alignment horizontal="center"/>
    </xf>
    <xf numFmtId="39" fontId="1" fillId="11" borderId="10" xfId="0" applyNumberFormat="1" applyFont="1" applyFill="1" applyBorder="1" applyAlignment="1">
      <alignment horizontal="center"/>
    </xf>
    <xf numFmtId="7" fontId="1" fillId="7" borderId="10" xfId="0" applyNumberFormat="1" applyFont="1" applyFill="1" applyBorder="1" applyAlignment="1">
      <alignment horizontal="center"/>
    </xf>
    <xf numFmtId="164" fontId="19" fillId="7" borderId="10" xfId="0" applyNumberFormat="1" applyFont="1" applyFill="1" applyBorder="1" applyAlignment="1">
      <alignment horizontal="center"/>
    </xf>
    <xf numFmtId="2" fontId="19" fillId="7" borderId="10" xfId="0" applyNumberFormat="1" applyFont="1" applyFill="1" applyBorder="1" applyAlignment="1">
      <alignment horizontal="center"/>
    </xf>
    <xf numFmtId="2" fontId="21" fillId="7" borderId="10" xfId="0" applyNumberFormat="1" applyFont="1" applyFill="1" applyBorder="1" applyAlignment="1">
      <alignment horizontal="center"/>
    </xf>
    <xf numFmtId="0" fontId="1" fillId="5" borderId="0" xfId="0" applyFont="1" applyFill="1" applyBorder="1"/>
    <xf numFmtId="0" fontId="1" fillId="2" borderId="1" xfId="0" applyFont="1" applyFill="1" applyBorder="1"/>
    <xf numFmtId="0" fontId="1" fillId="2" borderId="3" xfId="0" applyFont="1" applyFill="1" applyBorder="1"/>
    <xf numFmtId="0" fontId="1" fillId="3" borderId="0" xfId="0" applyFont="1" applyFill="1"/>
    <xf numFmtId="0" fontId="19" fillId="7" borderId="11" xfId="0" applyFont="1" applyFill="1" applyBorder="1"/>
    <xf numFmtId="7" fontId="1" fillId="7" borderId="11" xfId="0" applyNumberFormat="1" applyFont="1" applyFill="1" applyBorder="1" applyAlignment="1">
      <alignment horizontal="center"/>
    </xf>
    <xf numFmtId="2" fontId="0" fillId="0" borderId="0" xfId="0" applyNumberFormat="1" applyAlignment="1" applyProtection="1">
      <alignment horizontal="center"/>
      <protection locked="0"/>
    </xf>
    <xf numFmtId="167" fontId="0" fillId="0" borderId="0" xfId="2" applyNumberFormat="1" applyFont="1" applyFill="1" applyAlignment="1" applyProtection="1">
      <alignment horizontal="center"/>
      <protection locked="0"/>
    </xf>
    <xf numFmtId="8" fontId="0" fillId="0" borderId="0" xfId="0" applyNumberFormat="1" applyFill="1" applyAlignment="1">
      <alignment horizontal="center"/>
    </xf>
    <xf numFmtId="2" fontId="0" fillId="2" borderId="2" xfId="0" applyNumberFormat="1" applyFill="1" applyBorder="1" applyAlignment="1">
      <alignment horizontal="center" vertical="center"/>
    </xf>
    <xf numFmtId="2" fontId="0" fillId="2" borderId="0" xfId="0" applyNumberFormat="1" applyFill="1" applyAlignment="1">
      <alignment horizontal="center" vertical="center"/>
    </xf>
    <xf numFmtId="2" fontId="0" fillId="2" borderId="0" xfId="0" applyNumberFormat="1" applyFill="1"/>
    <xf numFmtId="2" fontId="0" fillId="2" borderId="0" xfId="0" applyNumberFormat="1" applyFill="1" applyAlignment="1">
      <alignment horizontal="center"/>
    </xf>
    <xf numFmtId="3" fontId="19" fillId="7" borderId="10" xfId="0" applyNumberFormat="1" applyFont="1" applyFill="1" applyBorder="1" applyAlignment="1">
      <alignment horizontal="center"/>
    </xf>
    <xf numFmtId="3" fontId="19" fillId="7" borderId="10" xfId="0" applyNumberFormat="1" applyFont="1" applyFill="1" applyBorder="1" applyAlignment="1">
      <alignment horizontal="right"/>
    </xf>
    <xf numFmtId="0" fontId="19" fillId="7" borderId="10" xfId="0" applyFont="1" applyFill="1" applyBorder="1" applyAlignment="1">
      <alignment horizontal="right"/>
    </xf>
    <xf numFmtId="2" fontId="20" fillId="7" borderId="2" xfId="0" applyNumberFormat="1" applyFont="1" applyFill="1" applyBorder="1" applyAlignment="1">
      <alignment horizontal="center"/>
    </xf>
    <xf numFmtId="0" fontId="6" fillId="8" borderId="0" xfId="0" applyFont="1" applyFill="1" applyBorder="1"/>
    <xf numFmtId="0" fontId="0" fillId="8" borderId="0" xfId="0" applyFill="1" applyBorder="1" applyAlignment="1">
      <alignment horizontal="center"/>
    </xf>
    <xf numFmtId="164" fontId="0" fillId="8" borderId="0" xfId="0" applyNumberFormat="1" applyFill="1" applyBorder="1" applyAlignment="1">
      <alignment horizontal="center"/>
    </xf>
    <xf numFmtId="0" fontId="0" fillId="8" borderId="0" xfId="0" applyFill="1" applyBorder="1"/>
    <xf numFmtId="0" fontId="34" fillId="8" borderId="0" xfId="0" applyFont="1" applyFill="1" applyBorder="1"/>
    <xf numFmtId="0" fontId="35" fillId="8" borderId="0" xfId="0" applyFont="1" applyFill="1" applyBorder="1" applyAlignment="1">
      <alignment horizontal="center"/>
    </xf>
    <xf numFmtId="164" fontId="35" fillId="8" borderId="0" xfId="0" applyNumberFormat="1" applyFont="1" applyFill="1" applyBorder="1" applyAlignment="1">
      <alignment horizontal="center"/>
    </xf>
    <xf numFmtId="0" fontId="35" fillId="8" borderId="0" xfId="0" applyFont="1" applyFill="1" applyBorder="1"/>
    <xf numFmtId="0" fontId="36" fillId="8" borderId="0" xfId="0" applyFont="1" applyFill="1" applyBorder="1" applyAlignment="1"/>
    <xf numFmtId="0" fontId="37" fillId="8" borderId="0" xfId="0" applyFont="1" applyFill="1" applyBorder="1"/>
    <xf numFmtId="0" fontId="38" fillId="8" borderId="0" xfId="0" applyFont="1" applyFill="1" applyBorder="1" applyAlignment="1">
      <alignment horizontal="center"/>
    </xf>
    <xf numFmtId="164" fontId="38" fillId="8" borderId="0" xfId="0" applyNumberFormat="1" applyFont="1" applyFill="1" applyBorder="1" applyAlignment="1">
      <alignment horizontal="center"/>
    </xf>
    <xf numFmtId="0" fontId="38" fillId="8" borderId="0" xfId="0" applyFont="1" applyFill="1" applyBorder="1"/>
    <xf numFmtId="0" fontId="39" fillId="8" borderId="0" xfId="0" applyFont="1" applyFill="1" applyBorder="1"/>
    <xf numFmtId="0" fontId="40" fillId="0" borderId="0" xfId="0" applyFont="1" applyFill="1" applyAlignment="1" applyProtection="1">
      <alignment horizontal="center"/>
      <protection locked="0"/>
    </xf>
    <xf numFmtId="164" fontId="41" fillId="8" borderId="0" xfId="0" applyNumberFormat="1" applyFont="1" applyFill="1" applyAlignment="1" applyProtection="1">
      <alignment horizontal="center"/>
    </xf>
    <xf numFmtId="0" fontId="40" fillId="8" borderId="0" xfId="0" applyFont="1" applyFill="1" applyAlignment="1" applyProtection="1">
      <alignment horizontal="center"/>
      <protection locked="0"/>
    </xf>
    <xf numFmtId="2" fontId="42" fillId="8" borderId="0" xfId="0" applyNumberFormat="1" applyFont="1" applyFill="1" applyAlignment="1" applyProtection="1">
      <alignment horizontal="center"/>
    </xf>
    <xf numFmtId="39" fontId="42" fillId="8" borderId="0" xfId="0" applyNumberFormat="1" applyFont="1" applyFill="1" applyAlignment="1" applyProtection="1">
      <alignment horizontal="center"/>
    </xf>
    <xf numFmtId="164" fontId="42" fillId="8" borderId="0" xfId="0" applyNumberFormat="1" applyFont="1" applyFill="1" applyAlignment="1" applyProtection="1">
      <alignment horizontal="center"/>
    </xf>
    <xf numFmtId="164" fontId="41" fillId="0" borderId="0" xfId="0" applyNumberFormat="1" applyFont="1" applyFill="1" applyAlignment="1" applyProtection="1">
      <alignment horizontal="center"/>
    </xf>
    <xf numFmtId="2" fontId="34" fillId="8" borderId="0" xfId="0" applyNumberFormat="1" applyFont="1" applyFill="1" applyBorder="1" applyAlignment="1" applyProtection="1">
      <alignment horizontal="center"/>
    </xf>
    <xf numFmtId="164" fontId="34" fillId="8" borderId="0" xfId="0" applyNumberFormat="1" applyFont="1" applyFill="1" applyBorder="1" applyAlignment="1" applyProtection="1">
      <alignment horizontal="center"/>
    </xf>
    <xf numFmtId="9" fontId="40" fillId="8" borderId="0" xfId="0" applyNumberFormat="1" applyFont="1" applyFill="1" applyAlignment="1">
      <alignment horizontal="center"/>
    </xf>
    <xf numFmtId="0" fontId="2" fillId="6" borderId="0" xfId="0" applyFont="1" applyFill="1" applyAlignment="1">
      <alignment horizontal="center"/>
    </xf>
    <xf numFmtId="0" fontId="2" fillId="8" borderId="0" xfId="0" applyFont="1" applyFill="1"/>
    <xf numFmtId="0" fontId="2" fillId="6" borderId="0" xfId="0" applyFont="1" applyFill="1" applyBorder="1"/>
    <xf numFmtId="0" fontId="2" fillId="8" borderId="0" xfId="0" applyFont="1" applyFill="1" applyBorder="1"/>
    <xf numFmtId="0" fontId="8" fillId="2" borderId="0" xfId="0" applyFont="1" applyFill="1" applyBorder="1" applyAlignment="1">
      <alignment horizontal="left"/>
    </xf>
    <xf numFmtId="0" fontId="2" fillId="2" borderId="0" xfId="0" applyFont="1" applyFill="1" applyAlignment="1"/>
    <xf numFmtId="0" fontId="2" fillId="2" borderId="0" xfId="0" applyFont="1" applyFill="1" applyAlignment="1">
      <alignment horizontal="center"/>
    </xf>
    <xf numFmtId="0" fontId="45" fillId="2" borderId="0" xfId="0" applyFont="1" applyFill="1"/>
    <xf numFmtId="1" fontId="2" fillId="2" borderId="0" xfId="0" applyNumberFormat="1" applyFont="1" applyFill="1" applyAlignment="1">
      <alignment horizontal="center"/>
    </xf>
    <xf numFmtId="44" fontId="2" fillId="2" borderId="0" xfId="0" applyNumberFormat="1" applyFont="1" applyFill="1" applyAlignment="1">
      <alignment horizontal="center"/>
    </xf>
    <xf numFmtId="0" fontId="2" fillId="2" borderId="0" xfId="0" applyFont="1" applyFill="1"/>
    <xf numFmtId="44" fontId="8" fillId="2" borderId="0" xfId="0" applyNumberFormat="1" applyFont="1" applyFill="1"/>
    <xf numFmtId="0" fontId="2" fillId="5" borderId="0" xfId="0" applyFont="1" applyFill="1" applyAlignment="1">
      <alignment horizontal="center"/>
    </xf>
    <xf numFmtId="0" fontId="45" fillId="2" borderId="0" xfId="0" applyFont="1" applyFill="1" applyAlignment="1"/>
    <xf numFmtId="0" fontId="8" fillId="2" borderId="0" xfId="0" applyFont="1" applyFill="1" applyAlignment="1">
      <alignment horizontal="center"/>
    </xf>
    <xf numFmtId="0" fontId="8" fillId="2" borderId="0" xfId="0" applyFont="1" applyFill="1"/>
    <xf numFmtId="166" fontId="8" fillId="2" borderId="0" xfId="0" applyNumberFormat="1" applyFont="1" applyFill="1" applyAlignment="1">
      <alignment horizontal="center"/>
    </xf>
    <xf numFmtId="0" fontId="8" fillId="5" borderId="0" xfId="0" applyFont="1" applyFill="1" applyAlignment="1">
      <alignment horizontal="center"/>
    </xf>
    <xf numFmtId="0" fontId="2" fillId="2" borderId="0" xfId="0" applyFont="1" applyFill="1" applyBorder="1"/>
    <xf numFmtId="0" fontId="8" fillId="2" borderId="0" xfId="0" applyFont="1" applyFill="1" applyBorder="1" applyAlignment="1">
      <alignment horizontal="center"/>
    </xf>
    <xf numFmtId="1" fontId="8" fillId="2" borderId="0" xfId="0" applyNumberFormat="1" applyFont="1" applyFill="1" applyBorder="1" applyAlignment="1">
      <alignment horizontal="center"/>
    </xf>
    <xf numFmtId="44" fontId="8" fillId="2" borderId="0" xfId="0" applyNumberFormat="1" applyFont="1" applyFill="1" applyBorder="1" applyAlignment="1">
      <alignment horizontal="center"/>
    </xf>
    <xf numFmtId="166" fontId="8" fillId="2" borderId="0" xfId="0" applyNumberFormat="1" applyFont="1" applyFill="1" applyBorder="1" applyAlignment="1">
      <alignment horizontal="center"/>
    </xf>
    <xf numFmtId="0" fontId="8" fillId="5" borderId="0" xfId="0" applyFont="1" applyFill="1" applyBorder="1" applyAlignment="1">
      <alignment horizontal="center"/>
    </xf>
    <xf numFmtId="0" fontId="8" fillId="2" borderId="1" xfId="0" applyFont="1" applyFill="1" applyBorder="1"/>
    <xf numFmtId="0" fontId="8" fillId="2" borderId="1" xfId="0" applyFont="1" applyFill="1" applyBorder="1" applyAlignment="1">
      <alignment horizontal="center"/>
    </xf>
    <xf numFmtId="1" fontId="8" fillId="5" borderId="1" xfId="0" applyNumberFormat="1" applyFont="1" applyFill="1" applyBorder="1" applyAlignment="1">
      <alignment horizontal="center"/>
    </xf>
    <xf numFmtId="44" fontId="8" fillId="5" borderId="1" xfId="0" applyNumberFormat="1" applyFont="1" applyFill="1" applyBorder="1" applyAlignment="1">
      <alignment horizontal="center"/>
    </xf>
    <xf numFmtId="0" fontId="53" fillId="12" borderId="0" xfId="0" applyFont="1" applyFill="1"/>
    <xf numFmtId="0" fontId="2" fillId="12" borderId="0" xfId="0" applyFont="1" applyFill="1" applyAlignment="1">
      <alignment horizontal="center"/>
    </xf>
    <xf numFmtId="164" fontId="40" fillId="8" borderId="0" xfId="0" applyNumberFormat="1" applyFont="1" applyFill="1" applyBorder="1" applyAlignment="1">
      <alignment horizontal="center"/>
    </xf>
    <xf numFmtId="164" fontId="40" fillId="7" borderId="0" xfId="0" applyNumberFormat="1" applyFont="1" applyFill="1" applyBorder="1" applyAlignment="1">
      <alignment horizontal="center"/>
    </xf>
    <xf numFmtId="167" fontId="40" fillId="8" borderId="0" xfId="2" applyNumberFormat="1" applyFont="1" applyFill="1" applyBorder="1" applyAlignment="1">
      <alignment horizontal="center"/>
    </xf>
    <xf numFmtId="10" fontId="40" fillId="8" borderId="0" xfId="2" applyNumberFormat="1"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1" fillId="2" borderId="7" xfId="0" applyFont="1" applyFill="1" applyBorder="1" applyAlignment="1">
      <alignment horizontal="center" wrapText="1"/>
    </xf>
    <xf numFmtId="0" fontId="20" fillId="7" borderId="10" xfId="0" applyFont="1" applyFill="1" applyBorder="1" applyAlignment="1"/>
    <xf numFmtId="0" fontId="19" fillId="8" borderId="0" xfId="0" applyFont="1" applyFill="1"/>
    <xf numFmtId="164" fontId="54" fillId="0" borderId="0" xfId="0" applyNumberFormat="1" applyFont="1" applyFill="1" applyAlignment="1" applyProtection="1">
      <alignment horizontal="center"/>
    </xf>
    <xf numFmtId="0" fontId="2" fillId="12" borderId="1" xfId="0" applyFont="1" applyFill="1" applyBorder="1"/>
    <xf numFmtId="0" fontId="55" fillId="6" borderId="0" xfId="0" applyFont="1" applyFill="1" applyAlignment="1">
      <alignment horizontal="center"/>
    </xf>
    <xf numFmtId="164" fontId="40" fillId="0" borderId="0" xfId="0" applyNumberFormat="1" applyFont="1" applyFill="1" applyBorder="1" applyAlignment="1">
      <alignment horizontal="center"/>
    </xf>
    <xf numFmtId="9" fontId="0" fillId="7" borderId="1" xfId="2" applyFont="1" applyFill="1" applyBorder="1" applyAlignment="1">
      <alignment horizontal="center"/>
    </xf>
    <xf numFmtId="0" fontId="1" fillId="5" borderId="3" xfId="0" applyFont="1" applyFill="1" applyBorder="1"/>
    <xf numFmtId="164" fontId="40" fillId="7" borderId="1" xfId="0" applyNumberFormat="1" applyFont="1" applyFill="1" applyBorder="1" applyAlignment="1">
      <alignment horizontal="center"/>
    </xf>
    <xf numFmtId="0" fontId="6" fillId="2" borderId="0" xfId="0" applyFont="1" applyFill="1" applyBorder="1"/>
    <xf numFmtId="0" fontId="6" fillId="2" borderId="0" xfId="0" applyFont="1" applyFill="1" applyBorder="1" applyAlignment="1">
      <alignment horizontal="center"/>
    </xf>
    <xf numFmtId="0" fontId="6" fillId="2" borderId="0" xfId="0" applyFont="1" applyFill="1" applyBorder="1" applyAlignment="1">
      <alignment horizontal="center" vertical="center"/>
    </xf>
    <xf numFmtId="164" fontId="6" fillId="3" borderId="0" xfId="0" applyNumberFormat="1" applyFont="1" applyFill="1" applyBorder="1"/>
    <xf numFmtId="0" fontId="6" fillId="0" borderId="0" xfId="0" applyFont="1" applyBorder="1"/>
    <xf numFmtId="0" fontId="56" fillId="12" borderId="0" xfId="1" applyFont="1" applyFill="1" applyAlignment="1" applyProtection="1"/>
    <xf numFmtId="0" fontId="2" fillId="12" borderId="1" xfId="0" applyFont="1" applyFill="1" applyBorder="1" applyAlignment="1">
      <alignment horizontal="center"/>
    </xf>
    <xf numFmtId="165" fontId="2" fillId="12" borderId="1" xfId="0" applyNumberFormat="1" applyFont="1" applyFill="1" applyBorder="1" applyAlignment="1">
      <alignment horizontal="center"/>
    </xf>
    <xf numFmtId="1" fontId="6" fillId="3" borderId="0" xfId="0" applyNumberFormat="1" applyFont="1" applyFill="1" applyBorder="1" applyAlignment="1">
      <alignment horizontal="center"/>
    </xf>
    <xf numFmtId="0" fontId="19" fillId="7" borderId="10" xfId="0" applyFont="1" applyFill="1" applyBorder="1" applyAlignment="1">
      <alignment horizontal="left"/>
    </xf>
    <xf numFmtId="164" fontId="19" fillId="7" borderId="10" xfId="0" applyNumberFormat="1" applyFont="1" applyFill="1" applyBorder="1" applyAlignment="1">
      <alignment horizontal="left"/>
    </xf>
    <xf numFmtId="166" fontId="8" fillId="12" borderId="0" xfId="0" applyNumberFormat="1" applyFont="1" applyFill="1" applyAlignment="1">
      <alignment horizontal="center"/>
    </xf>
    <xf numFmtId="0" fontId="57" fillId="8" borderId="0" xfId="0" applyFont="1" applyFill="1" applyAlignment="1">
      <alignment horizontal="center"/>
    </xf>
    <xf numFmtId="0" fontId="8" fillId="12" borderId="0" xfId="0" applyFont="1" applyFill="1" applyAlignment="1">
      <alignment horizontal="center"/>
    </xf>
    <xf numFmtId="0" fontId="57" fillId="8" borderId="1" xfId="0" applyFont="1" applyFill="1" applyBorder="1" applyAlignment="1">
      <alignment horizontal="center"/>
    </xf>
    <xf numFmtId="0" fontId="1" fillId="3" borderId="0" xfId="0" applyFont="1" applyFill="1" applyBorder="1"/>
    <xf numFmtId="0" fontId="0" fillId="6" borderId="0" xfId="0" applyFill="1" applyAlignment="1">
      <alignment textRotation="90"/>
    </xf>
    <xf numFmtId="0" fontId="0" fillId="0" borderId="0" xfId="0" applyAlignment="1"/>
    <xf numFmtId="0" fontId="1" fillId="8" borderId="0" xfId="0" applyFont="1" applyFill="1" applyAlignment="1">
      <alignment horizontal="center"/>
    </xf>
    <xf numFmtId="0" fontId="0" fillId="0" borderId="0" xfId="0" applyAlignment="1">
      <alignment horizontal="center"/>
    </xf>
    <xf numFmtId="0" fontId="1" fillId="6" borderId="0" xfId="0" applyFont="1" applyFill="1" applyAlignment="1">
      <alignment textRotation="90"/>
    </xf>
    <xf numFmtId="0" fontId="51" fillId="8" borderId="0" xfId="0" applyFont="1" applyFill="1" applyBorder="1" applyAlignment="1"/>
    <xf numFmtId="0" fontId="52" fillId="8" borderId="0" xfId="0" applyFont="1" applyFill="1" applyBorder="1" applyAlignment="1"/>
    <xf numFmtId="0" fontId="43" fillId="0" borderId="1" xfId="0" applyFont="1" applyFill="1" applyBorder="1" applyAlignment="1">
      <alignment horizontal="left" vertical="center"/>
    </xf>
    <xf numFmtId="0" fontId="44" fillId="0" borderId="1" xfId="0" applyFont="1" applyFill="1" applyBorder="1" applyAlignment="1">
      <alignment vertical="center"/>
    </xf>
    <xf numFmtId="0" fontId="8" fillId="8" borderId="0" xfId="0" applyFont="1" applyFill="1" applyBorder="1" applyAlignment="1"/>
    <xf numFmtId="0" fontId="2" fillId="8" borderId="0" xfId="0" applyFont="1" applyFill="1" applyBorder="1" applyAlignment="1"/>
    <xf numFmtId="0" fontId="47" fillId="8" borderId="0" xfId="0" applyFont="1" applyFill="1" applyBorder="1" applyAlignment="1"/>
    <xf numFmtId="0" fontId="48" fillId="8" borderId="0" xfId="0" applyFont="1" applyFill="1" applyBorder="1" applyAlignment="1"/>
    <xf numFmtId="0" fontId="49" fillId="8" borderId="0" xfId="0" applyFont="1" applyFill="1" applyBorder="1" applyAlignment="1"/>
    <xf numFmtId="0" fontId="50" fillId="8" borderId="0" xfId="0" applyFont="1" applyFill="1" applyBorder="1" applyAlignment="1"/>
    <xf numFmtId="0" fontId="8" fillId="6" borderId="1" xfId="0" applyFont="1" applyFill="1" applyBorder="1" applyAlignment="1">
      <alignment horizontal="left" vertical="center"/>
    </xf>
    <xf numFmtId="0" fontId="13" fillId="6" borderId="1" xfId="0" applyFont="1" applyFill="1" applyBorder="1" applyAlignment="1">
      <alignment horizontal="left" vertical="center"/>
    </xf>
    <xf numFmtId="0" fontId="8" fillId="6" borderId="0" xfId="0" applyFont="1" applyFill="1" applyBorder="1" applyAlignment="1">
      <alignment wrapText="1"/>
    </xf>
    <xf numFmtId="0" fontId="0" fillId="6" borderId="0" xfId="0" applyFill="1" applyBorder="1" applyAlignment="1"/>
    <xf numFmtId="0" fontId="1" fillId="6" borderId="0" xfId="0" applyFont="1" applyFill="1" applyAlignment="1" applyProtection="1">
      <alignment horizontal="left" vertical="top" wrapText="1"/>
      <protection locked="0"/>
    </xf>
    <xf numFmtId="0" fontId="0" fillId="6" borderId="0" xfId="0" applyFill="1" applyAlignment="1" applyProtection="1">
      <alignment horizontal="left" vertical="top" wrapText="1"/>
      <protection locked="0"/>
    </xf>
    <xf numFmtId="0" fontId="8" fillId="6" borderId="0" xfId="0" applyFont="1" applyFill="1" applyBorder="1" applyAlignment="1" applyProtection="1">
      <alignment wrapText="1"/>
      <protection locked="0"/>
    </xf>
    <xf numFmtId="0" fontId="0" fillId="6" borderId="0" xfId="0" applyFill="1" applyBorder="1" applyAlignment="1">
      <alignment wrapText="1"/>
    </xf>
    <xf numFmtId="0" fontId="26" fillId="6" borderId="0" xfId="0" applyFont="1" applyFill="1" applyAlignment="1" applyProtection="1">
      <alignment horizontal="left" vertical="top" wrapText="1"/>
      <protection locked="0"/>
    </xf>
    <xf numFmtId="0" fontId="0" fillId="0" borderId="0" xfId="0" applyAlignment="1" applyProtection="1">
      <alignment horizontal="left"/>
      <protection locked="0"/>
    </xf>
    <xf numFmtId="0" fontId="19" fillId="2" borderId="7" xfId="0" applyFont="1" applyFill="1" applyBorder="1" applyAlignment="1">
      <alignment horizontal="center" wrapText="1"/>
    </xf>
    <xf numFmtId="0" fontId="19" fillId="2" borderId="9" xfId="0" applyFont="1" applyFill="1" applyBorder="1" applyAlignment="1">
      <alignment horizontal="center" wrapText="1"/>
    </xf>
    <xf numFmtId="0" fontId="12" fillId="11" borderId="11" xfId="0" applyFont="1" applyFill="1" applyBorder="1" applyAlignment="1"/>
    <xf numFmtId="0" fontId="12" fillId="11" borderId="2" xfId="0" applyFont="1" applyFill="1" applyBorder="1" applyAlignment="1"/>
    <xf numFmtId="0" fontId="12" fillId="11" borderId="12" xfId="0" applyFont="1" applyFill="1" applyBorder="1" applyAlignment="1"/>
    <xf numFmtId="0" fontId="6" fillId="3" borderId="7" xfId="0" applyFont="1" applyFill="1" applyBorder="1" applyAlignment="1">
      <alignment horizontal="center" vertical="center" wrapText="1"/>
    </xf>
    <xf numFmtId="0" fontId="6" fillId="0" borderId="8" xfId="0" applyFont="1" applyBorder="1" applyAlignment="1">
      <alignment vertical="center"/>
    </xf>
    <xf numFmtId="0" fontId="1" fillId="2" borderId="15" xfId="0" applyFont="1" applyFill="1" applyBorder="1" applyAlignment="1">
      <alignment horizontal="center" wrapText="1"/>
    </xf>
    <xf numFmtId="0" fontId="0" fillId="0" borderId="13" xfId="0" applyBorder="1" applyAlignment="1">
      <alignment horizontal="center" wrapText="1"/>
    </xf>
    <xf numFmtId="0" fontId="1" fillId="2" borderId="7" xfId="0" applyFont="1" applyFill="1" applyBorder="1" applyAlignment="1">
      <alignment horizontal="center" wrapText="1"/>
    </xf>
    <xf numFmtId="0" fontId="0" fillId="0" borderId="9" xfId="0" applyBorder="1" applyAlignment="1">
      <alignment horizontal="center" wrapText="1"/>
    </xf>
    <xf numFmtId="0" fontId="1" fillId="3" borderId="7" xfId="0" applyFont="1" applyFill="1" applyBorder="1" applyAlignment="1">
      <alignment horizontal="center" wrapText="1"/>
    </xf>
    <xf numFmtId="0" fontId="19" fillId="3" borderId="7" xfId="0" applyFont="1" applyFill="1" applyBorder="1" applyAlignment="1"/>
    <xf numFmtId="0" fontId="19" fillId="3" borderId="8" xfId="0" applyFont="1" applyFill="1" applyBorder="1" applyAlignment="1"/>
    <xf numFmtId="0" fontId="8" fillId="8" borderId="1" xfId="0" applyFont="1" applyFill="1" applyBorder="1" applyAlignment="1">
      <alignment horizontal="left"/>
    </xf>
    <xf numFmtId="0" fontId="0" fillId="8" borderId="1" xfId="0" applyFill="1" applyBorder="1" applyAlignment="1"/>
    <xf numFmtId="0" fontId="18" fillId="7" borderId="13" xfId="0" applyFont="1" applyFill="1" applyBorder="1" applyAlignment="1">
      <alignment horizontal="left" wrapText="1"/>
    </xf>
    <xf numFmtId="0" fontId="18" fillId="7" borderId="1" xfId="0" applyFont="1" applyFill="1" applyBorder="1" applyAlignment="1">
      <alignment wrapText="1"/>
    </xf>
    <xf numFmtId="0" fontId="18" fillId="7" borderId="6" xfId="0" applyFont="1" applyFill="1" applyBorder="1" applyAlignment="1">
      <alignment wrapText="1"/>
    </xf>
    <xf numFmtId="0" fontId="6" fillId="2" borderId="15"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3" borderId="15"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2" borderId="11" xfId="0" applyFont="1" applyFill="1" applyBorder="1" applyAlignment="1">
      <alignment horizontal="center" wrapText="1"/>
    </xf>
    <xf numFmtId="0" fontId="6" fillId="2" borderId="12" xfId="0" applyFont="1" applyFill="1" applyBorder="1" applyAlignment="1">
      <alignment horizontal="center" wrapText="1"/>
    </xf>
    <xf numFmtId="0" fontId="19" fillId="2" borderId="11" xfId="0" applyFont="1" applyFill="1" applyBorder="1" applyAlignment="1">
      <alignment horizontal="center"/>
    </xf>
    <xf numFmtId="0" fontId="19" fillId="2" borderId="2" xfId="0" applyFont="1" applyFill="1" applyBorder="1" applyAlignment="1">
      <alignment horizontal="center"/>
    </xf>
    <xf numFmtId="0" fontId="19" fillId="2" borderId="12" xfId="0" applyFont="1" applyFill="1" applyBorder="1" applyAlignment="1">
      <alignment horizontal="center"/>
    </xf>
    <xf numFmtId="0" fontId="19" fillId="3" borderId="11" xfId="0" applyFont="1" applyFill="1" applyBorder="1" applyAlignment="1">
      <alignment horizontal="center"/>
    </xf>
    <xf numFmtId="0" fontId="19" fillId="3" borderId="2" xfId="0" applyFont="1" applyFill="1" applyBorder="1" applyAlignment="1">
      <alignment horizontal="center"/>
    </xf>
    <xf numFmtId="0" fontId="19" fillId="3" borderId="12" xfId="0" applyFont="1" applyFill="1" applyBorder="1" applyAlignment="1">
      <alignment horizontal="center"/>
    </xf>
    <xf numFmtId="0" fontId="19" fillId="9" borderId="11" xfId="0" applyFont="1" applyFill="1" applyBorder="1" applyAlignment="1">
      <alignment horizontal="center"/>
    </xf>
    <xf numFmtId="0" fontId="19" fillId="9" borderId="12" xfId="0" applyFont="1" applyFill="1" applyBorder="1" applyAlignment="1">
      <alignment horizontal="center"/>
    </xf>
    <xf numFmtId="0" fontId="28" fillId="7" borderId="11" xfId="0" applyFont="1" applyFill="1" applyBorder="1" applyAlignment="1"/>
    <xf numFmtId="0" fontId="28" fillId="7" borderId="2" xfId="0" applyFont="1" applyFill="1" applyBorder="1" applyAlignment="1"/>
    <xf numFmtId="0" fontId="28" fillId="7" borderId="12" xfId="0" applyFont="1" applyFill="1" applyBorder="1" applyAlignment="1"/>
    <xf numFmtId="0" fontId="20" fillId="7" borderId="10" xfId="0" applyFont="1" applyFill="1" applyBorder="1" applyAlignment="1"/>
    <xf numFmtId="0" fontId="0" fillId="7" borderId="10" xfId="0" applyFill="1" applyBorder="1" applyAlignment="1"/>
    <xf numFmtId="0" fontId="8" fillId="6" borderId="1" xfId="0" applyFont="1" applyFill="1" applyBorder="1" applyAlignment="1">
      <alignment vertical="center"/>
    </xf>
    <xf numFmtId="0" fontId="0" fillId="6" borderId="1" xfId="0" applyFill="1" applyBorder="1" applyAlignment="1">
      <alignment vertical="center"/>
    </xf>
  </cellXfs>
  <cellStyles count="3">
    <cellStyle name="Hyperlink" xfId="1" builtinId="8"/>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3.jpeg"/></Relationships>
</file>

<file path=xl/charts/_rels/chart2.xml.rels><?xml version="1.0" encoding="UTF-8" standalone="yes"?>
<Relationships xmlns="http://schemas.openxmlformats.org/package/2006/relationships"><Relationship Id="rId1" Type="http://schemas.openxmlformats.org/officeDocument/2006/relationships/image" Target="../media/image3.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49636803874211"/>
          <c:y val="8.2569053926121502E-2"/>
          <c:w val="0.75060532687651904"/>
          <c:h val="0.75841205087696206"/>
        </c:manualLayout>
      </c:layout>
      <c:barChart>
        <c:barDir val="col"/>
        <c:grouping val="clustered"/>
        <c:varyColors val="0"/>
        <c:ser>
          <c:idx val="0"/>
          <c:order val="0"/>
          <c:tx>
            <c:v>WW</c:v>
          </c:tx>
          <c:spPr>
            <a:solidFill>
              <a:srgbClr val="FFC000"/>
            </a:solidFill>
            <a:ln w="25400">
              <a:noFill/>
            </a:ln>
            <a:effectLst>
              <a:outerShdw dist="35921" dir="2700000" algn="br">
                <a:srgbClr val="000000"/>
              </a:outerShdw>
            </a:effectLst>
          </c:spPr>
          <c:invertIfNegative val="0"/>
          <c:dLbls>
            <c:dLbl>
              <c:idx val="0"/>
              <c:layout>
                <c:manualLayout>
                  <c:x val="2.2428552363157987E-3"/>
                  <c:y val="7.2819796607992834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Graphical!$D$7</c:f>
              <c:numCache>
                <c:formatCode>"$"#,##0</c:formatCode>
                <c:ptCount val="1"/>
                <c:pt idx="0">
                  <c:v>0</c:v>
                </c:pt>
              </c:numCache>
            </c:numRef>
          </c:val>
        </c:ser>
        <c:ser>
          <c:idx val="1"/>
          <c:order val="1"/>
          <c:tx>
            <c:v>SB</c:v>
          </c:tx>
          <c:spPr>
            <a:solidFill>
              <a:srgbClr val="CC0099"/>
            </a:solidFill>
            <a:ln w="25400">
              <a:noFill/>
            </a:ln>
            <a:effectLst>
              <a:outerShdw dist="35921" dir="2700000" algn="br">
                <a:srgbClr val="000000"/>
              </a:outerShdw>
            </a:effectLst>
          </c:spPr>
          <c:invertIfNegative val="0"/>
          <c:dLbls>
            <c:dLbl>
              <c:idx val="0"/>
              <c:layout>
                <c:manualLayout>
                  <c:x val="3.3204324035767062E-3"/>
                  <c:y val="-2.0574793247043217E-2"/>
                </c:manualLayout>
              </c:layout>
              <c:dLblPos val="outEnd"/>
              <c:showLegendKey val="0"/>
              <c:showVal val="1"/>
              <c:showCatName val="0"/>
              <c:showSerName val="0"/>
              <c:showPercent val="0"/>
              <c:showBubbleSize val="0"/>
              <c:extLst>
                <c:ext xmlns:c15="http://schemas.microsoft.com/office/drawing/2012/chart" uri="{CE6537A1-D6FC-4f65-9D91-7224C49458BB}"/>
              </c:extLst>
            </c:dLbl>
            <c:spPr>
              <a:solidFill>
                <a:srgbClr val="FFFFFF"/>
              </a:solid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Graphical!$D$8</c:f>
              <c:numCache>
                <c:formatCode>"$"#,##0</c:formatCode>
                <c:ptCount val="1"/>
                <c:pt idx="0">
                  <c:v>0</c:v>
                </c:pt>
              </c:numCache>
            </c:numRef>
          </c:val>
        </c:ser>
        <c:ser>
          <c:idx val="2"/>
          <c:order val="2"/>
          <c:tx>
            <c:v>SWSW</c:v>
          </c:tx>
          <c:spPr>
            <a:solidFill>
              <a:schemeClr val="accent6">
                <a:lumMod val="75000"/>
              </a:schemeClr>
            </a:solidFill>
            <a:ln w="25400">
              <a:noFill/>
            </a:ln>
            <a:effectLst>
              <a:outerShdw dist="35921" dir="2700000" algn="br">
                <a:srgbClr val="000000"/>
              </a:outerShdw>
            </a:effectLst>
          </c:spPr>
          <c:invertIfNegative val="0"/>
          <c:dLbls>
            <c:dLbl>
              <c:idx val="0"/>
              <c:layout>
                <c:manualLayout>
                  <c:x val="2.2756477474214429E-3"/>
                  <c:y val="-4.0521081653784102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Graphical!$D$9</c:f>
              <c:numCache>
                <c:formatCode>"$"#,##0</c:formatCode>
                <c:ptCount val="1"/>
                <c:pt idx="0">
                  <c:v>0</c:v>
                </c:pt>
              </c:numCache>
            </c:numRef>
          </c:val>
        </c:ser>
        <c:ser>
          <c:idx val="3"/>
          <c:order val="3"/>
          <c:tx>
            <c:v>HRSW</c:v>
          </c:tx>
          <c:spPr>
            <a:solidFill>
              <a:srgbClr val="CC0000"/>
            </a:solidFill>
            <a:ln w="25400">
              <a:noFill/>
            </a:ln>
            <a:effectLst>
              <a:outerShdw dist="35921" dir="2700000" algn="br">
                <a:srgbClr val="000000"/>
              </a:outerShdw>
            </a:effectLst>
          </c:spPr>
          <c:invertIfNegative val="0"/>
          <c:dLbls>
            <c:spPr>
              <a:no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Graphical!$D$10</c:f>
              <c:numCache>
                <c:formatCode>"$"#,##0</c:formatCode>
                <c:ptCount val="1"/>
                <c:pt idx="0">
                  <c:v>0</c:v>
                </c:pt>
              </c:numCache>
            </c:numRef>
          </c:val>
        </c:ser>
        <c:ser>
          <c:idx val="4"/>
          <c:order val="4"/>
          <c:tx>
            <c:v>P</c:v>
          </c:tx>
          <c:spPr>
            <a:solidFill>
              <a:srgbClr val="92D050"/>
            </a:solidFill>
            <a:ln w="25400">
              <a:noFill/>
            </a:ln>
            <a:effectLst>
              <a:outerShdw dist="35921" dir="2700000" algn="br">
                <a:srgbClr val="000000"/>
              </a:outerShdw>
            </a:effectLst>
          </c:spPr>
          <c:invertIfNegative val="0"/>
          <c:dLbls>
            <c:dLbl>
              <c:idx val="0"/>
              <c:layout>
                <c:manualLayout>
                  <c:x val="1.638354527717953E-3"/>
                  <c:y val="-1.7278557731744814E-2"/>
                </c:manualLayout>
              </c:layout>
              <c:dLblPos val="outEnd"/>
              <c:showLegendKey val="0"/>
              <c:showVal val="1"/>
              <c:showCatName val="0"/>
              <c:showSerName val="0"/>
              <c:showPercent val="0"/>
              <c:showBubbleSize val="0"/>
              <c:extLst>
                <c:ext xmlns:c15="http://schemas.microsoft.com/office/drawing/2012/chart" uri="{CE6537A1-D6FC-4f65-9D91-7224C49458BB}"/>
              </c:extLst>
            </c:dLbl>
            <c:spPr>
              <a:solidFill>
                <a:sysClr val="window" lastClr="FFFFFF"/>
              </a:solid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Graphical!$D$11</c:f>
              <c:numCache>
                <c:formatCode>"$"#,##0</c:formatCode>
                <c:ptCount val="1"/>
                <c:pt idx="0">
                  <c:v>0</c:v>
                </c:pt>
              </c:numCache>
            </c:numRef>
          </c:val>
        </c:ser>
        <c:ser>
          <c:idx val="5"/>
          <c:order val="5"/>
          <c:tx>
            <c:v>L</c:v>
          </c:tx>
          <c:spPr>
            <a:solidFill>
              <a:srgbClr val="FF8080"/>
            </a:solidFill>
            <a:ln w="25400">
              <a:noFill/>
            </a:ln>
            <a:effectLst>
              <a:outerShdw dist="35921" dir="2700000" algn="br">
                <a:srgbClr val="000000"/>
              </a:outerShdw>
            </a:effectLst>
          </c:spPr>
          <c:invertIfNegative val="0"/>
          <c:dLbls>
            <c:spPr>
              <a:no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Graphical!$D$12</c:f>
              <c:numCache>
                <c:formatCode>"$"#,##0</c:formatCode>
                <c:ptCount val="1"/>
                <c:pt idx="0">
                  <c:v>0</c:v>
                </c:pt>
              </c:numCache>
            </c:numRef>
          </c:val>
        </c:ser>
        <c:ser>
          <c:idx val="6"/>
          <c:order val="6"/>
          <c:tx>
            <c:v>G</c:v>
          </c:tx>
          <c:spPr>
            <a:solidFill>
              <a:srgbClr val="0066CC"/>
            </a:solidFill>
            <a:ln w="25400">
              <a:noFill/>
            </a:ln>
            <a:effectLst>
              <a:outerShdw dist="35921" dir="2700000" algn="br">
                <a:srgbClr val="000000"/>
              </a:outerShdw>
            </a:effectLst>
          </c:spPr>
          <c:invertIfNegative val="0"/>
          <c:dLbls>
            <c:dLbl>
              <c:idx val="0"/>
              <c:layout>
                <c:manualLayout>
                  <c:x val="-2.0900777233354402E-3"/>
                  <c:y val="-4.639649401623063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Graphical!$D$13</c:f>
              <c:numCache>
                <c:formatCode>"$"#,##0</c:formatCode>
                <c:ptCount val="1"/>
                <c:pt idx="0">
                  <c:v>0</c:v>
                </c:pt>
              </c:numCache>
            </c:numRef>
          </c:val>
        </c:ser>
        <c:ser>
          <c:idx val="7"/>
          <c:order val="7"/>
          <c:tx>
            <c:v>SC</c:v>
          </c:tx>
          <c:spPr>
            <a:solidFill>
              <a:srgbClr val="FFFF00"/>
            </a:solidFill>
            <a:ln w="25400">
              <a:noFill/>
            </a:ln>
            <a:effectLst>
              <a:outerShdw dist="35921" dir="2700000" algn="br">
                <a:srgbClr val="000000"/>
              </a:outerShdw>
            </a:effectLst>
          </c:spPr>
          <c:invertIfNegative val="0"/>
          <c:dLbls>
            <c:dLbl>
              <c:idx val="0"/>
              <c:layout>
                <c:manualLayout>
                  <c:x val="1.4090611554911229E-3"/>
                  <c:y val="-1.9966915587277825E-2"/>
                </c:manualLayout>
              </c:layout>
              <c:dLblPos val="outEnd"/>
              <c:showLegendKey val="0"/>
              <c:showVal val="1"/>
              <c:showCatName val="0"/>
              <c:showSerName val="0"/>
              <c:showPercent val="0"/>
              <c:showBubbleSize val="0"/>
              <c:extLst>
                <c:ext xmlns:c15="http://schemas.microsoft.com/office/drawing/2012/chart" uri="{CE6537A1-D6FC-4f65-9D91-7224C49458BB}"/>
              </c:extLst>
            </c:dLbl>
            <c:spPr>
              <a:solidFill>
                <a:sysClr val="window" lastClr="FFFFFF"/>
              </a:solid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Graphical!$D$14</c:f>
              <c:numCache>
                <c:formatCode>"$"#,##0</c:formatCode>
                <c:ptCount val="1"/>
                <c:pt idx="0">
                  <c:v>0</c:v>
                </c:pt>
              </c:numCache>
            </c:numRef>
          </c:val>
        </c:ser>
        <c:dLbls>
          <c:showLegendKey val="0"/>
          <c:showVal val="1"/>
          <c:showCatName val="0"/>
          <c:showSerName val="0"/>
          <c:showPercent val="0"/>
          <c:showBubbleSize val="0"/>
        </c:dLbls>
        <c:gapWidth val="200"/>
        <c:overlap val="-100"/>
        <c:axId val="-390017104"/>
        <c:axId val="-390015472"/>
      </c:barChart>
      <c:catAx>
        <c:axId val="-390017104"/>
        <c:scaling>
          <c:orientation val="minMax"/>
        </c:scaling>
        <c:delete val="1"/>
        <c:axPos val="b"/>
        <c:numFmt formatCode="General" sourceLinked="0"/>
        <c:majorTickMark val="out"/>
        <c:minorTickMark val="none"/>
        <c:tickLblPos val="none"/>
        <c:crossAx val="-390015472"/>
        <c:crosses val="autoZero"/>
        <c:auto val="1"/>
        <c:lblAlgn val="ctr"/>
        <c:lblOffset val="100"/>
        <c:noMultiLvlLbl val="0"/>
      </c:catAx>
      <c:valAx>
        <c:axId val="-390015472"/>
        <c:scaling>
          <c:orientation val="minMax"/>
        </c:scaling>
        <c:delete val="0"/>
        <c:axPos val="l"/>
        <c:majorGridlines>
          <c:spPr>
            <a:ln w="3175">
              <a:solidFill>
                <a:srgbClr val="000000"/>
              </a:solidFill>
              <a:prstDash val="solid"/>
            </a:ln>
          </c:spPr>
        </c:majorGridlines>
        <c:title>
          <c:tx>
            <c:rich>
              <a:bodyPr/>
              <a:lstStyle/>
              <a:p>
                <a:pPr>
                  <a:defRPr sz="1025" b="0" i="0" u="none" strike="noStrike" baseline="0">
                    <a:solidFill>
                      <a:srgbClr val="000000"/>
                    </a:solidFill>
                    <a:latin typeface="Arial"/>
                    <a:ea typeface="Arial"/>
                    <a:cs typeface="Arial"/>
                  </a:defRPr>
                </a:pPr>
                <a:r>
                  <a:rPr lang="en-US"/>
                  <a:t>$/acre/year</a:t>
                </a:r>
              </a:p>
            </c:rich>
          </c:tx>
          <c:layout>
            <c:manualLayout>
              <c:xMode val="edge"/>
              <c:yMode val="edge"/>
              <c:x val="3.8740920096852302E-2"/>
              <c:y val="0.34556671241782888"/>
            </c:manualLayout>
          </c:layout>
          <c:overlay val="0"/>
          <c:spPr>
            <a:noFill/>
            <a:ln w="25400">
              <a:noFill/>
            </a:ln>
          </c:spPr>
        </c:title>
        <c:numFmt formatCode="&quot;$&quot;#,##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390017104"/>
        <c:crosses val="autoZero"/>
        <c:crossBetween val="between"/>
      </c:valAx>
      <c:spPr>
        <a:solidFill>
          <a:srgbClr val="FFFFFF"/>
        </a:solidFill>
        <a:ln w="12700">
          <a:solidFill>
            <a:srgbClr val="808080"/>
          </a:solidFill>
          <a:prstDash val="solid"/>
        </a:ln>
      </c:spPr>
    </c:plotArea>
    <c:legend>
      <c:legendPos val="r"/>
      <c:layout>
        <c:manualLayout>
          <c:xMode val="edge"/>
          <c:yMode val="edge"/>
          <c:x val="6.5375302663438259E-2"/>
          <c:y val="0.91131755319575858"/>
          <c:w val="0.91767554479419355"/>
          <c:h val="7.3394816473628902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000000000000455" r="0.7500000000000045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Arial"/>
                <a:ea typeface="Arial"/>
                <a:cs typeface="Arial"/>
              </a:defRPr>
            </a:pPr>
            <a:r>
              <a:rPr lang="en-US" sz="1200" b="1"/>
              <a:t>Returns over Total Costs by Rotation</a:t>
            </a:r>
          </a:p>
        </c:rich>
      </c:tx>
      <c:layout>
        <c:manualLayout>
          <c:xMode val="edge"/>
          <c:yMode val="edge"/>
          <c:x val="0.31692307692308014"/>
          <c:y val="3.2967032967032975E-2"/>
        </c:manualLayout>
      </c:layout>
      <c:overlay val="0"/>
      <c:spPr>
        <a:noFill/>
        <a:ln w="25400">
          <a:noFill/>
        </a:ln>
      </c:spPr>
    </c:title>
    <c:autoTitleDeleted val="0"/>
    <c:plotArea>
      <c:layout>
        <c:manualLayout>
          <c:layoutTarget val="inner"/>
          <c:xMode val="edge"/>
          <c:yMode val="edge"/>
          <c:x val="0.14769230769230918"/>
          <c:y val="0.18406618097820207"/>
          <c:w val="0.5953846153846154"/>
          <c:h val="0.48351713212183978"/>
        </c:manualLayout>
      </c:layout>
      <c:barChart>
        <c:barDir val="col"/>
        <c:grouping val="clustered"/>
        <c:varyColors val="0"/>
        <c:ser>
          <c:idx val="0"/>
          <c:order val="0"/>
          <c:tx>
            <c:v>WW, SWSW, P</c:v>
          </c:tx>
          <c:spPr>
            <a:solidFill>
              <a:srgbClr val="9999FF"/>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Graphical!$D$29</c:f>
              <c:numCache>
                <c:formatCode>"$"#,##0</c:formatCode>
                <c:ptCount val="1"/>
                <c:pt idx="0">
                  <c:v>0</c:v>
                </c:pt>
              </c:numCache>
            </c:numRef>
          </c:val>
        </c:ser>
        <c:ser>
          <c:idx val="1"/>
          <c:order val="1"/>
          <c:tx>
            <c:v>WW, HRSW, P</c:v>
          </c:tx>
          <c:spPr>
            <a:solidFill>
              <a:srgbClr val="993366"/>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Graphical!$D$30</c:f>
              <c:numCache>
                <c:formatCode>"$"#,##0</c:formatCode>
                <c:ptCount val="1"/>
                <c:pt idx="0">
                  <c:v>0</c:v>
                </c:pt>
              </c:numCache>
            </c:numRef>
          </c:val>
        </c:ser>
        <c:ser>
          <c:idx val="2"/>
          <c:order val="2"/>
          <c:tx>
            <c:v>WW, SB, P</c:v>
          </c:tx>
          <c:spPr>
            <a:solidFill>
              <a:srgbClr val="FFFFCC"/>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Graphical!$D$31</c:f>
              <c:numCache>
                <c:formatCode>"$"#,##0</c:formatCode>
                <c:ptCount val="1"/>
                <c:pt idx="0">
                  <c:v>0</c:v>
                </c:pt>
              </c:numCache>
            </c:numRef>
          </c:val>
        </c:ser>
        <c:ser>
          <c:idx val="3"/>
          <c:order val="3"/>
          <c:tx>
            <c:v>WW, SWSW, L</c:v>
          </c:tx>
          <c:spPr>
            <a:solidFill>
              <a:srgbClr val="CCFFFF"/>
            </a:solidFill>
            <a:ln w="25400">
              <a:noFill/>
            </a:ln>
            <a:effectLst>
              <a:outerShdw dist="35921" dir="2700000" algn="br">
                <a:srgbClr val="000000"/>
              </a:outerShdw>
            </a:effectLst>
          </c:spPr>
          <c:invertIfNegative val="0"/>
          <c:dLbls>
            <c:dLbl>
              <c:idx val="0"/>
              <c:layout>
                <c:manualLayout>
                  <c:x val="1.6335958005249404E-3"/>
                  <c:y val="1.944978270066762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Graphical!$D$32</c:f>
              <c:numCache>
                <c:formatCode>"$"#,##0</c:formatCode>
                <c:ptCount val="1"/>
                <c:pt idx="0">
                  <c:v>0</c:v>
                </c:pt>
              </c:numCache>
            </c:numRef>
          </c:val>
        </c:ser>
        <c:ser>
          <c:idx val="4"/>
          <c:order val="4"/>
          <c:tx>
            <c:v>WW, HRSW, L</c:v>
          </c:tx>
          <c:spPr>
            <a:solidFill>
              <a:srgbClr val="660066"/>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Graphical!$D$33</c:f>
              <c:numCache>
                <c:formatCode>"$"#,##0</c:formatCode>
                <c:ptCount val="1"/>
                <c:pt idx="0">
                  <c:v>0</c:v>
                </c:pt>
              </c:numCache>
            </c:numRef>
          </c:val>
        </c:ser>
        <c:ser>
          <c:idx val="5"/>
          <c:order val="5"/>
          <c:tx>
            <c:v>WW, SB, L</c:v>
          </c:tx>
          <c:spPr>
            <a:solidFill>
              <a:srgbClr val="FF8080"/>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Graphical!$D$34</c:f>
              <c:numCache>
                <c:formatCode>"$"#,##0</c:formatCode>
                <c:ptCount val="1"/>
                <c:pt idx="0">
                  <c:v>0</c:v>
                </c:pt>
              </c:numCache>
            </c:numRef>
          </c:val>
        </c:ser>
        <c:ser>
          <c:idx val="6"/>
          <c:order val="6"/>
          <c:tx>
            <c:v>WW, SWSW, G</c:v>
          </c:tx>
          <c:spPr>
            <a:solidFill>
              <a:srgbClr val="0066CC"/>
            </a:solidFill>
            <a:ln w="25400">
              <a:noFill/>
            </a:ln>
            <a:effectLst>
              <a:outerShdw dist="35921" dir="2700000" algn="br">
                <a:srgbClr val="000000"/>
              </a:outerShdw>
            </a:effectLst>
          </c:spPr>
          <c:invertIfNegative val="0"/>
          <c:dLbls>
            <c:dLbl>
              <c:idx val="0"/>
              <c:layout>
                <c:manualLayout>
                  <c:x val="2.6342014940440115E-3"/>
                  <c:y val="2.6529766013887093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Graphical!$D$35</c:f>
              <c:numCache>
                <c:formatCode>"$"#,##0</c:formatCode>
                <c:ptCount val="1"/>
                <c:pt idx="0">
                  <c:v>0</c:v>
                </c:pt>
              </c:numCache>
            </c:numRef>
          </c:val>
        </c:ser>
        <c:ser>
          <c:idx val="7"/>
          <c:order val="7"/>
          <c:tx>
            <c:v>WW, HRSW, G</c:v>
          </c:tx>
          <c:spPr>
            <a:solidFill>
              <a:srgbClr val="CCCCFF"/>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Graphical!$D$36</c:f>
              <c:numCache>
                <c:formatCode>"$"#,##0</c:formatCode>
                <c:ptCount val="1"/>
                <c:pt idx="0">
                  <c:v>0</c:v>
                </c:pt>
              </c:numCache>
            </c:numRef>
          </c:val>
        </c:ser>
        <c:ser>
          <c:idx val="8"/>
          <c:order val="8"/>
          <c:tx>
            <c:v>WW, SB, G</c:v>
          </c:tx>
          <c:spPr>
            <a:solidFill>
              <a:srgbClr val="000080"/>
            </a:solidFill>
            <a:ln w="25400">
              <a:noFill/>
            </a:ln>
            <a:effectLst>
              <a:outerShdw dist="35921" dir="2700000" algn="br">
                <a:srgbClr val="000000"/>
              </a:outerShdw>
            </a:effectLst>
          </c:spPr>
          <c:invertIfNegative val="0"/>
          <c:dLbls>
            <c:dLbl>
              <c:idx val="0"/>
              <c:layout>
                <c:manualLayout>
                  <c:x val="6.378356551585033E-4"/>
                  <c:y val="1.9647002324110222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Graphical!$D$37</c:f>
              <c:numCache>
                <c:formatCode>"$"#,##0</c:formatCode>
                <c:ptCount val="1"/>
                <c:pt idx="0">
                  <c:v>0</c:v>
                </c:pt>
              </c:numCache>
            </c:numRef>
          </c:val>
        </c:ser>
        <c:ser>
          <c:idx val="9"/>
          <c:order val="9"/>
          <c:tx>
            <c:v>WW, SWSW, SC</c:v>
          </c:tx>
          <c:spPr>
            <a:solidFill>
              <a:srgbClr val="FF00FF"/>
            </a:solidFill>
            <a:ln w="25400">
              <a:noFill/>
            </a:ln>
            <a:effectLst>
              <a:outerShdw dist="35921" dir="2700000" algn="br">
                <a:srgbClr val="000000"/>
              </a:outerShdw>
            </a:effectLst>
          </c:spPr>
          <c:invertIfNegative val="0"/>
          <c:dLbls>
            <c:dLbl>
              <c:idx val="0"/>
              <c:layout>
                <c:manualLayout>
                  <c:x val="2.7986270946900472E-3"/>
                  <c:y val="-1.210145649137722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Graphical!$D$38</c:f>
              <c:numCache>
                <c:formatCode>"$"#,##0</c:formatCode>
                <c:ptCount val="1"/>
                <c:pt idx="0">
                  <c:v>0</c:v>
                </c:pt>
              </c:numCache>
            </c:numRef>
          </c:val>
        </c:ser>
        <c:ser>
          <c:idx val="10"/>
          <c:order val="10"/>
          <c:tx>
            <c:v>WW, HRSW, SC</c:v>
          </c:tx>
          <c:spPr>
            <a:solidFill>
              <a:srgbClr val="FFFF00"/>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Graphical!$D$39</c:f>
              <c:numCache>
                <c:formatCode>"$"#,##0</c:formatCode>
                <c:ptCount val="1"/>
                <c:pt idx="0">
                  <c:v>0</c:v>
                </c:pt>
              </c:numCache>
            </c:numRef>
          </c:val>
        </c:ser>
        <c:ser>
          <c:idx val="11"/>
          <c:order val="11"/>
          <c:tx>
            <c:v>WW, SB, SC</c:v>
          </c:tx>
          <c:spPr>
            <a:solidFill>
              <a:srgbClr val="00FFFF"/>
            </a:solidFill>
            <a:ln w="25400">
              <a:noFill/>
            </a:ln>
            <a:effectLst>
              <a:outerShdw dist="35921" dir="2700000" algn="br">
                <a:srgbClr val="000000"/>
              </a:outerShdw>
            </a:effectLst>
          </c:spPr>
          <c:invertIfNegative val="0"/>
          <c:dLbls>
            <c:dLbl>
              <c:idx val="0"/>
              <c:layout>
                <c:manualLayout>
                  <c:x val="4.0434484151020255E-3"/>
                  <c:y val="1.6632398553679355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Graphical!$D$40</c:f>
              <c:numCache>
                <c:formatCode>"$"#,##0</c:formatCode>
                <c:ptCount val="1"/>
                <c:pt idx="0">
                  <c:v>0</c:v>
                </c:pt>
              </c:numCache>
            </c:numRef>
          </c:val>
        </c:ser>
        <c:dLbls>
          <c:showLegendKey val="0"/>
          <c:showVal val="1"/>
          <c:showCatName val="0"/>
          <c:showSerName val="0"/>
          <c:showPercent val="0"/>
          <c:showBubbleSize val="0"/>
        </c:dLbls>
        <c:gapWidth val="190"/>
        <c:overlap val="-100"/>
        <c:axId val="-390005680"/>
        <c:axId val="-66375552"/>
      </c:barChart>
      <c:catAx>
        <c:axId val="-390005680"/>
        <c:scaling>
          <c:orientation val="minMax"/>
        </c:scaling>
        <c:delete val="1"/>
        <c:axPos val="b"/>
        <c:majorTickMark val="out"/>
        <c:minorTickMark val="none"/>
        <c:tickLblPos val="none"/>
        <c:crossAx val="-66375552"/>
        <c:crosses val="autoZero"/>
        <c:auto val="1"/>
        <c:lblAlgn val="ctr"/>
        <c:lblOffset val="100"/>
        <c:noMultiLvlLbl val="0"/>
      </c:catAx>
      <c:valAx>
        <c:axId val="-66375552"/>
        <c:scaling>
          <c:orientation val="minMax"/>
        </c:scaling>
        <c:delete val="0"/>
        <c:axPos val="l"/>
        <c:majorGridlines>
          <c:spPr>
            <a:ln w="3175">
              <a:solidFill>
                <a:srgbClr val="000000"/>
              </a:solidFill>
              <a:prstDash val="solid"/>
            </a:ln>
          </c:spPr>
        </c:majorGridlines>
        <c:title>
          <c:tx>
            <c:rich>
              <a:bodyPr/>
              <a:lstStyle/>
              <a:p>
                <a:pPr>
                  <a:defRPr sz="1050" b="0" i="0" u="none" strike="noStrike" baseline="0">
                    <a:solidFill>
                      <a:srgbClr val="000000"/>
                    </a:solidFill>
                    <a:latin typeface="Arial"/>
                    <a:ea typeface="Arial"/>
                    <a:cs typeface="Arial"/>
                  </a:defRPr>
                </a:pPr>
                <a:r>
                  <a:rPr lang="en-US"/>
                  <a:t>$/acre/year</a:t>
                </a:r>
              </a:p>
            </c:rich>
          </c:tx>
          <c:layout>
            <c:manualLayout>
              <c:xMode val="edge"/>
              <c:yMode val="edge"/>
              <c:x val="4.6153846153846163E-2"/>
              <c:y val="0.32417640102679712"/>
            </c:manualLayout>
          </c:layout>
          <c:overlay val="0"/>
          <c:spPr>
            <a:noFill/>
            <a:ln w="25400">
              <a:noFill/>
            </a:ln>
          </c:spPr>
        </c:title>
        <c:numFmt formatCode="&quot;$&quot;#,##0"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390005680"/>
        <c:crosses val="autoZero"/>
        <c:crossBetween val="between"/>
      </c:valAx>
      <c:spPr>
        <a:solidFill>
          <a:srgbClr val="FFFFFF"/>
        </a:solidFill>
        <a:ln w="12700">
          <a:solidFill>
            <a:srgbClr val="808080"/>
          </a:solidFill>
          <a:prstDash val="solid"/>
        </a:ln>
      </c:spPr>
    </c:plotArea>
    <c:legend>
      <c:legendPos val="r"/>
      <c:layout>
        <c:manualLayout>
          <c:xMode val="edge"/>
          <c:yMode val="edge"/>
          <c:x val="0.11538461538461539"/>
          <c:y val="0.75000086527645582"/>
          <c:w val="0.79999999999999993"/>
          <c:h val="0.23351677194196874"/>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0455" r="0.7500000000000045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1</xdr:row>
      <xdr:rowOff>47625</xdr:rowOff>
    </xdr:from>
    <xdr:to>
      <xdr:col>10</xdr:col>
      <xdr:colOff>285750</xdr:colOff>
      <xdr:row>7</xdr:row>
      <xdr:rowOff>152400</xdr:rowOff>
    </xdr:to>
    <xdr:pic>
      <xdr:nvPicPr>
        <xdr:cNvPr id="4" name="Picture 4" descr="01UICALS-metallic.jpg"/>
        <xdr:cNvPicPr>
          <a:picLocks noChangeAspect="1"/>
        </xdr:cNvPicPr>
      </xdr:nvPicPr>
      <xdr:blipFill>
        <a:blip xmlns:r="http://schemas.openxmlformats.org/officeDocument/2006/relationships" r:embed="rId1" cstate="print"/>
        <a:srcRect/>
        <a:stretch>
          <a:fillRect/>
        </a:stretch>
      </xdr:blipFill>
      <xdr:spPr bwMode="auto">
        <a:xfrm>
          <a:off x="352425" y="209550"/>
          <a:ext cx="5791200" cy="1333500"/>
        </a:xfrm>
        <a:prstGeom prst="rect">
          <a:avLst/>
        </a:prstGeom>
        <a:noFill/>
        <a:ln w="9525">
          <a:noFill/>
          <a:miter lim="800000"/>
          <a:headEnd/>
          <a:tailEnd/>
        </a:ln>
      </xdr:spPr>
    </xdr:pic>
    <xdr:clientData/>
  </xdr:twoCellAnchor>
  <xdr:twoCellAnchor editAs="oneCell">
    <xdr:from>
      <xdr:col>1</xdr:col>
      <xdr:colOff>533400</xdr:colOff>
      <xdr:row>8</xdr:row>
      <xdr:rowOff>21249</xdr:rowOff>
    </xdr:from>
    <xdr:to>
      <xdr:col>8</xdr:col>
      <xdr:colOff>314325</xdr:colOff>
      <xdr:row>21</xdr:row>
      <xdr:rowOff>289754</xdr:rowOff>
    </xdr:to>
    <xdr:pic>
      <xdr:nvPicPr>
        <xdr:cNvPr id="1025" name="Picture 1" descr="http://www.woollydesigns.com/1/hay/2007_hay/2007%20grass.jpg"/>
        <xdr:cNvPicPr>
          <a:picLocks noChangeAspect="1" noChangeArrowheads="1"/>
        </xdr:cNvPicPr>
      </xdr:nvPicPr>
      <xdr:blipFill>
        <a:blip xmlns:r="http://schemas.openxmlformats.org/officeDocument/2006/relationships" r:embed="rId2" cstate="print"/>
        <a:srcRect/>
        <a:stretch>
          <a:fillRect/>
        </a:stretch>
      </xdr:blipFill>
      <xdr:spPr bwMode="auto">
        <a:xfrm>
          <a:off x="1162050" y="1830999"/>
          <a:ext cx="3848100" cy="288788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28575</xdr:rowOff>
    </xdr:from>
    <xdr:to>
      <xdr:col>7</xdr:col>
      <xdr:colOff>409575</xdr:colOff>
      <xdr:row>21</xdr:row>
      <xdr:rowOff>28575</xdr:rowOff>
    </xdr:to>
    <xdr:graphicFrame macro="">
      <xdr:nvGraphicFramePr>
        <xdr:cNvPr id="313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114300</xdr:colOff>
      <xdr:row>24</xdr:row>
      <xdr:rowOff>47625</xdr:rowOff>
    </xdr:from>
    <xdr:to>
      <xdr:col>20</xdr:col>
      <xdr:colOff>85725</xdr:colOff>
      <xdr:row>45</xdr:row>
      <xdr:rowOff>114300</xdr:rowOff>
    </xdr:to>
    <xdr:graphicFrame macro="">
      <xdr:nvGraphicFramePr>
        <xdr:cNvPr id="313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e/AppData/Roaming/Microsoft/Excel/2009%20District%201%20Wheat%20Rot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Instructions"/>
      <sheetName val="Summary"/>
      <sheetName val="Graphical"/>
      <sheetName val="Graph by Crop"/>
      <sheetName val="Input Prices"/>
      <sheetName val="Soft White Winter Wheat"/>
      <sheetName val="SWW Calendar"/>
      <sheetName val="Soft White Spring Wheat"/>
      <sheetName val="SSW Calendar"/>
      <sheetName val="Hard Red Spring Wheat"/>
      <sheetName val="HRS Calendar"/>
      <sheetName val="Feed Barley"/>
      <sheetName val="FB Calendar"/>
      <sheetName val="Oats"/>
      <sheetName val="Oats Calendar"/>
      <sheetName val="Spring Peas"/>
      <sheetName val="SP Calendar"/>
      <sheetName val="Spring Lentils"/>
      <sheetName val="SL Calendar"/>
      <sheetName val="Garbanzos"/>
      <sheetName val="G Calendar"/>
      <sheetName val="Spring Canola"/>
      <sheetName val="SC Calendar"/>
      <sheetName val="Yellow Mustard"/>
      <sheetName val="YM Calendar"/>
      <sheetName val="Summer Fallow"/>
      <sheetName val="SF Calendar"/>
      <sheetName val="Machinery Costs"/>
      <sheetName val="Machinery Complement"/>
    </sheetNames>
    <sheetDataSet>
      <sheetData sheetId="0"/>
      <sheetData sheetId="1"/>
      <sheetData sheetId="2">
        <row r="24">
          <cell r="D24">
            <v>1100</v>
          </cell>
        </row>
      </sheetData>
      <sheetData sheetId="3"/>
      <sheetData sheetId="4"/>
      <sheetData sheetId="5">
        <row r="23">
          <cell r="D23">
            <v>1.25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34">
          <cell r="C234">
            <v>20.107000000000003</v>
          </cell>
        </row>
      </sheetData>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painter@uidaho.edu" TargetMode="External"/><Relationship Id="rId1" Type="http://schemas.openxmlformats.org/officeDocument/2006/relationships/hyperlink" Target="http://web.cals.uidaho.edu/idahoagbiz/enterprise-budget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eb.cals.uidaho.edu/idahoagbiz/enterprise-budgets/" TargetMode="External"/><Relationship Id="rId1" Type="http://schemas.openxmlformats.org/officeDocument/2006/relationships/hyperlink" Target="http://web.cals.uidaho.edu/idahoagbiz/enterprise-budge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CA43"/>
  <sheetViews>
    <sheetView topLeftCell="A8" zoomScaleNormal="100" workbookViewId="0">
      <selection activeCell="F44" sqref="F44"/>
    </sheetView>
  </sheetViews>
  <sheetFormatPr defaultColWidth="8.7109375" defaultRowHeight="12.75" x14ac:dyDescent="0.2"/>
  <cols>
    <col min="1" max="1" width="9.42578125" style="34" customWidth="1"/>
    <col min="2" max="10" width="8.7109375" style="34" customWidth="1"/>
    <col min="11" max="11" width="4.7109375" style="34" customWidth="1"/>
    <col min="12" max="16384" width="8.7109375" style="34"/>
  </cols>
  <sheetData>
    <row r="7" spans="5:9" ht="33.6" customHeight="1" x14ac:dyDescent="0.2"/>
    <row r="8" spans="5:9" ht="33.6" customHeight="1" x14ac:dyDescent="0.2"/>
    <row r="9" spans="5:9" ht="33.6" customHeight="1" x14ac:dyDescent="0.2"/>
    <row r="10" spans="5:9" ht="33.6" customHeight="1" x14ac:dyDescent="0.2"/>
    <row r="14" spans="5:9" x14ac:dyDescent="0.2">
      <c r="I14" s="384" t="s">
        <v>266</v>
      </c>
    </row>
    <row r="15" spans="5:9" x14ac:dyDescent="0.2">
      <c r="E15"/>
      <c r="I15" s="381"/>
    </row>
    <row r="16" spans="5:9" x14ac:dyDescent="0.2">
      <c r="I16" s="381"/>
    </row>
    <row r="17" spans="4:9" ht="12.75" customHeight="1" x14ac:dyDescent="0.2">
      <c r="H17" s="380"/>
      <c r="I17" s="381"/>
    </row>
    <row r="18" spans="4:9" x14ac:dyDescent="0.2">
      <c r="H18" s="381"/>
      <c r="I18" s="381"/>
    </row>
    <row r="19" spans="4:9" x14ac:dyDescent="0.2">
      <c r="H19" s="381"/>
      <c r="I19" s="381"/>
    </row>
    <row r="20" spans="4:9" x14ac:dyDescent="0.2">
      <c r="H20" s="381"/>
      <c r="I20" s="381"/>
    </row>
    <row r="21" spans="4:9" x14ac:dyDescent="0.2">
      <c r="H21" s="381"/>
      <c r="I21" s="381"/>
    </row>
    <row r="22" spans="4:9" ht="24.75" customHeight="1" x14ac:dyDescent="0.2">
      <c r="H22" s="381"/>
      <c r="I22" s="381"/>
    </row>
    <row r="24" spans="4:9" s="155" customFormat="1" x14ac:dyDescent="0.2"/>
    <row r="25" spans="4:9" s="155" customFormat="1" x14ac:dyDescent="0.2"/>
    <row r="26" spans="4:9" ht="20.25" x14ac:dyDescent="0.3">
      <c r="F26" s="359" t="s">
        <v>368</v>
      </c>
    </row>
    <row r="27" spans="4:9" ht="15.75" x14ac:dyDescent="0.25">
      <c r="F27" s="81"/>
    </row>
    <row r="28" spans="4:9" s="203" customFormat="1" x14ac:dyDescent="0.2">
      <c r="D28" s="215"/>
    </row>
    <row r="29" spans="4:9" s="203" customFormat="1" x14ac:dyDescent="0.2">
      <c r="D29" s="215"/>
    </row>
    <row r="30" spans="4:9" s="206" customFormat="1" x14ac:dyDescent="0.2">
      <c r="D30" s="215"/>
    </row>
    <row r="31" spans="4:9" s="206" customFormat="1" x14ac:dyDescent="0.2">
      <c r="D31" s="214"/>
      <c r="E31" s="215"/>
      <c r="F31" s="215"/>
      <c r="G31" s="215"/>
      <c r="H31" s="215"/>
    </row>
    <row r="32" spans="4:9" s="250" customFormat="1" x14ac:dyDescent="0.2">
      <c r="F32" s="51"/>
    </row>
    <row r="33" spans="1:79" s="61" customFormat="1" x14ac:dyDescent="0.2">
      <c r="F33" s="156" t="s">
        <v>190</v>
      </c>
    </row>
    <row r="34" spans="1:79" s="61" customFormat="1" x14ac:dyDescent="0.2">
      <c r="F34" s="156" t="s">
        <v>369</v>
      </c>
    </row>
    <row r="35" spans="1:79" s="61" customFormat="1" x14ac:dyDescent="0.2">
      <c r="F35" s="156" t="s">
        <v>370</v>
      </c>
    </row>
    <row r="36" spans="1:79" s="61" customFormat="1" x14ac:dyDescent="0.2">
      <c r="F36" s="156" t="s">
        <v>371</v>
      </c>
    </row>
    <row r="37" spans="1:79" s="61" customFormat="1" x14ac:dyDescent="0.2">
      <c r="F37" s="156" t="s">
        <v>372</v>
      </c>
    </row>
    <row r="38" spans="1:79" s="61" customFormat="1" x14ac:dyDescent="0.2">
      <c r="F38" s="156" t="s">
        <v>373</v>
      </c>
    </row>
    <row r="39" spans="1:79" s="61" customFormat="1" x14ac:dyDescent="0.2">
      <c r="F39" s="157" t="s">
        <v>191</v>
      </c>
    </row>
    <row r="40" spans="1:79" s="61" customFormat="1" x14ac:dyDescent="0.2"/>
    <row r="42" spans="1:79" customFormat="1" x14ac:dyDescent="0.2">
      <c r="A42" s="34"/>
      <c r="B42" s="34"/>
      <c r="C42" s="382" t="s">
        <v>188</v>
      </c>
      <c r="D42" s="383"/>
      <c r="E42" s="383"/>
      <c r="F42" s="383"/>
      <c r="G42" s="383"/>
      <c r="H42" s="383"/>
      <c r="I42" s="383"/>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row>
    <row r="43" spans="1:79" s="250" customFormat="1" ht="12.6" customHeight="1" x14ac:dyDescent="0.2">
      <c r="D43" s="158" t="s">
        <v>335</v>
      </c>
      <c r="E43" s="215"/>
      <c r="F43" s="215"/>
      <c r="G43" s="215"/>
      <c r="H43" s="215"/>
    </row>
  </sheetData>
  <mergeCells count="3">
    <mergeCell ref="H17:H22"/>
    <mergeCell ref="C42:I42"/>
    <mergeCell ref="I14:I22"/>
  </mergeCells>
  <phoneticPr fontId="5" type="noConversion"/>
  <hyperlinks>
    <hyperlink ref="D28" location="Garbanzos!A1" display="EBB1-Garb-09 "/>
    <hyperlink ref="D29" location="'Spring Canola'!A1" display="EBB1-SC-09 "/>
    <hyperlink ref="D43" r:id="rId1"/>
    <hyperlink ref="F39" r:id="rId2"/>
  </hyperlinks>
  <printOptions horizontalCentered="1"/>
  <pageMargins left="0.75" right="0.75" top="1" bottom="1" header="0" footer="0.5"/>
  <pageSetup scale="88" orientation="portrait" r:id="rId3"/>
  <headerFooter alignWithMargins="0">
    <oddFooter>&amp;L&amp;A&amp;C&amp;F&amp;R
&amp;D</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B1:R56"/>
  <sheetViews>
    <sheetView zoomScale="115" zoomScaleNormal="115" workbookViewId="0">
      <selection activeCell="B2" sqref="B2:N56"/>
    </sheetView>
  </sheetViews>
  <sheetFormatPr defaultColWidth="8.85546875" defaultRowHeight="12" x14ac:dyDescent="0.2"/>
  <cols>
    <col min="1" max="1" width="4.140625" style="182" customWidth="1"/>
    <col min="2" max="2" width="28.5703125" style="182" customWidth="1"/>
    <col min="3" max="4" width="8.7109375" style="182" customWidth="1"/>
    <col min="5" max="5" width="9.85546875" style="182" customWidth="1"/>
    <col min="6" max="6" width="9.7109375" style="182" customWidth="1"/>
    <col min="7" max="7" width="8.7109375" style="182" customWidth="1"/>
    <col min="8" max="8" width="8" style="182" customWidth="1"/>
    <col min="9" max="9" width="8.140625" style="182" customWidth="1"/>
    <col min="10" max="10" width="7.85546875" style="182" customWidth="1"/>
    <col min="11" max="13" width="8.7109375" style="182" customWidth="1"/>
    <col min="14" max="14" width="9.7109375" style="182" customWidth="1"/>
    <col min="15" max="16384" width="8.85546875" style="182"/>
  </cols>
  <sheetData>
    <row r="1" spans="2:18" s="61" customFormat="1" ht="12.75" x14ac:dyDescent="0.2">
      <c r="B1" s="262"/>
      <c r="C1" s="262"/>
      <c r="D1" s="262"/>
    </row>
    <row r="2" spans="2:18" s="40" customFormat="1" ht="15.75" x14ac:dyDescent="0.25">
      <c r="B2" s="419" t="s">
        <v>234</v>
      </c>
      <c r="C2" s="420"/>
      <c r="D2" s="420"/>
      <c r="E2" s="420"/>
      <c r="F2" s="420"/>
      <c r="G2" s="420"/>
      <c r="H2" s="420"/>
      <c r="I2" s="420"/>
      <c r="J2" s="420"/>
      <c r="K2" s="420"/>
      <c r="L2" s="420"/>
      <c r="M2" s="420"/>
      <c r="N2" s="420"/>
    </row>
    <row r="3" spans="2:18" s="40" customFormat="1" ht="12.75" customHeight="1" x14ac:dyDescent="0.2">
      <c r="B3" s="421" t="s">
        <v>235</v>
      </c>
      <c r="C3" s="422"/>
      <c r="D3" s="422"/>
      <c r="E3" s="422"/>
      <c r="F3" s="422"/>
      <c r="G3" s="422"/>
      <c r="H3" s="422"/>
      <c r="I3" s="422"/>
      <c r="J3" s="422"/>
      <c r="K3" s="422"/>
      <c r="L3" s="422"/>
      <c r="M3" s="422"/>
      <c r="N3" s="423"/>
    </row>
    <row r="4" spans="2:18" s="61" customFormat="1" ht="12.75" customHeight="1" x14ac:dyDescent="0.2">
      <c r="B4" s="91"/>
      <c r="C4" s="424" t="s">
        <v>236</v>
      </c>
      <c r="D4" s="425"/>
      <c r="E4" s="426"/>
      <c r="F4" s="263"/>
      <c r="G4" s="427" t="s">
        <v>237</v>
      </c>
      <c r="H4" s="428"/>
      <c r="I4" s="428"/>
      <c r="J4" s="429"/>
      <c r="K4" s="430" t="s">
        <v>24</v>
      </c>
      <c r="L4" s="431"/>
      <c r="M4" s="264" t="s">
        <v>1</v>
      </c>
      <c r="N4" s="410" t="s">
        <v>72</v>
      </c>
      <c r="P4" s="159"/>
      <c r="Q4" s="159"/>
      <c r="R4"/>
    </row>
    <row r="5" spans="2:18" s="61" customFormat="1" ht="12.75" customHeight="1" x14ac:dyDescent="0.2">
      <c r="B5" s="92"/>
      <c r="C5" s="412" t="s">
        <v>282</v>
      </c>
      <c r="D5" s="414" t="s">
        <v>238</v>
      </c>
      <c r="E5" s="414" t="s">
        <v>220</v>
      </c>
      <c r="F5" s="414" t="s">
        <v>239</v>
      </c>
      <c r="G5" s="416" t="s">
        <v>69</v>
      </c>
      <c r="H5" s="416" t="s">
        <v>70</v>
      </c>
      <c r="I5" s="416" t="s">
        <v>240</v>
      </c>
      <c r="J5" s="416" t="s">
        <v>144</v>
      </c>
      <c r="K5" s="265"/>
      <c r="L5" s="265"/>
      <c r="M5" s="265"/>
      <c r="N5" s="411"/>
      <c r="P5" s="159"/>
      <c r="Q5" s="159"/>
      <c r="R5"/>
    </row>
    <row r="6" spans="2:18" s="61" customFormat="1" ht="12.75" customHeight="1" x14ac:dyDescent="0.2">
      <c r="B6" s="94"/>
      <c r="C6" s="413"/>
      <c r="D6" s="415"/>
      <c r="E6" s="415"/>
      <c r="F6" s="415"/>
      <c r="G6" s="415"/>
      <c r="H6" s="415"/>
      <c r="I6" s="415"/>
      <c r="J6" s="415"/>
      <c r="K6" s="266" t="s">
        <v>148</v>
      </c>
      <c r="L6" s="266" t="s">
        <v>2</v>
      </c>
      <c r="M6" s="267" t="s">
        <v>3</v>
      </c>
      <c r="N6" s="268" t="s">
        <v>148</v>
      </c>
      <c r="P6" s="159"/>
      <c r="Q6" s="159"/>
      <c r="R6"/>
    </row>
    <row r="7" spans="2:18" s="160" customFormat="1" ht="12.75" customHeight="1" x14ac:dyDescent="0.2">
      <c r="B7" s="407" t="s">
        <v>241</v>
      </c>
      <c r="C7" s="408"/>
      <c r="D7" s="408"/>
      <c r="E7" s="408"/>
      <c r="F7" s="408"/>
      <c r="G7" s="408"/>
      <c r="H7" s="408"/>
      <c r="I7" s="408"/>
      <c r="J7" s="408"/>
      <c r="K7" s="408"/>
      <c r="L7" s="408"/>
      <c r="M7" s="408"/>
      <c r="N7" s="409"/>
    </row>
    <row r="8" spans="2:18" s="61" customFormat="1" ht="12.75" x14ac:dyDescent="0.2">
      <c r="B8" s="269" t="s">
        <v>272</v>
      </c>
      <c r="C8" s="270">
        <v>1.4018200000000001</v>
      </c>
      <c r="D8" s="271">
        <v>0.82212000000000007</v>
      </c>
      <c r="E8" s="271">
        <v>0.74834000000000001</v>
      </c>
      <c r="F8" s="271">
        <v>2.9722800000000005</v>
      </c>
      <c r="G8" s="271">
        <v>0.79049999999999998</v>
      </c>
      <c r="H8" s="271">
        <v>2.0146341463414634</v>
      </c>
      <c r="I8" s="271">
        <v>0.18972</v>
      </c>
      <c r="J8" s="271">
        <v>2.9948541463414631</v>
      </c>
      <c r="K8" s="271">
        <v>3.572916666666667</v>
      </c>
      <c r="L8" s="272">
        <v>0.2198717948717949</v>
      </c>
      <c r="M8" s="272">
        <v>0.57560975609756104</v>
      </c>
      <c r="N8" s="271">
        <v>9.5400508130081292</v>
      </c>
    </row>
    <row r="9" spans="2:18" s="61" customFormat="1" ht="12.75" x14ac:dyDescent="0.2">
      <c r="B9" s="269" t="s">
        <v>273</v>
      </c>
      <c r="C9" s="270">
        <v>0.24242000000000002</v>
      </c>
      <c r="D9" s="271">
        <v>0.15809999999999999</v>
      </c>
      <c r="E9" s="271">
        <v>0.14756000000000002</v>
      </c>
      <c r="F9" s="271">
        <v>0.54808000000000001</v>
      </c>
      <c r="G9" s="271">
        <v>0.79049999999999998</v>
      </c>
      <c r="H9" s="271">
        <v>0.34146341463414642</v>
      </c>
      <c r="I9" s="271">
        <v>3.1620000000000002E-2</v>
      </c>
      <c r="J9" s="271">
        <v>1.1635834146341464</v>
      </c>
      <c r="K9" s="271">
        <v>1.1875</v>
      </c>
      <c r="L9" s="272">
        <v>7.3076923076923067E-2</v>
      </c>
      <c r="M9" s="272">
        <v>9.7560975609756115E-2</v>
      </c>
      <c r="N9" s="271">
        <v>2.8991634146341467</v>
      </c>
    </row>
    <row r="10" spans="2:18" s="61" customFormat="1" ht="12.75" x14ac:dyDescent="0.2">
      <c r="B10" s="269" t="s">
        <v>242</v>
      </c>
      <c r="C10" s="270">
        <v>1.6442400000000001</v>
      </c>
      <c r="D10" s="270">
        <v>0.98022000000000009</v>
      </c>
      <c r="E10" s="270">
        <v>0.89590000000000003</v>
      </c>
      <c r="F10" s="270">
        <v>3.5203600000000006</v>
      </c>
      <c r="G10" s="270">
        <v>1.581</v>
      </c>
      <c r="H10" s="270">
        <v>2.3560975609756101</v>
      </c>
      <c r="I10" s="270">
        <v>0.22134000000000001</v>
      </c>
      <c r="J10" s="270">
        <v>4.1584375609756092</v>
      </c>
      <c r="K10" s="270">
        <v>4.760416666666667</v>
      </c>
      <c r="L10" s="270">
        <v>0.29294871794871796</v>
      </c>
      <c r="M10" s="270">
        <v>0.67317073170731712</v>
      </c>
      <c r="N10" s="270">
        <v>12.439214227642276</v>
      </c>
    </row>
    <row r="11" spans="2:18" s="160" customFormat="1" ht="12.75" x14ac:dyDescent="0.2">
      <c r="B11" s="252" t="s">
        <v>243</v>
      </c>
      <c r="C11" s="113"/>
      <c r="D11" s="113"/>
      <c r="E11" s="113"/>
      <c r="F11" s="113"/>
      <c r="G11" s="113"/>
      <c r="H11" s="113"/>
      <c r="I11" s="113"/>
      <c r="J11" s="113"/>
      <c r="K11" s="113"/>
      <c r="L11" s="113"/>
      <c r="M11" s="113"/>
      <c r="N11" s="113"/>
    </row>
    <row r="12" spans="2:18" s="61" customFormat="1" ht="12.75" x14ac:dyDescent="0.2">
      <c r="B12" s="113" t="s">
        <v>275</v>
      </c>
      <c r="C12" s="273">
        <v>2.8886400000000005</v>
      </c>
      <c r="D12" s="273">
        <v>2.1558600000000001</v>
      </c>
      <c r="E12" s="273">
        <v>0.71154000000000006</v>
      </c>
      <c r="F12" s="273">
        <v>5.7560400000000014</v>
      </c>
      <c r="G12" s="273">
        <v>1.7098200000000001</v>
      </c>
      <c r="H12" s="273">
        <v>1.1097560975609757</v>
      </c>
      <c r="I12" s="273">
        <v>0.10620000000000002</v>
      </c>
      <c r="J12" s="273">
        <v>2.9257760975609757</v>
      </c>
      <c r="K12" s="273">
        <v>1.2291666666666667</v>
      </c>
      <c r="L12" s="273">
        <v>7.5641025641025636E-2</v>
      </c>
      <c r="M12" s="273">
        <v>0.31707317073170738</v>
      </c>
      <c r="N12" s="273">
        <v>9.9109827642276436</v>
      </c>
    </row>
    <row r="13" spans="2:18" s="61" customFormat="1" ht="12.75" x14ac:dyDescent="0.2">
      <c r="B13" s="113" t="s">
        <v>276</v>
      </c>
      <c r="C13" s="273">
        <v>5.5224000000000002</v>
      </c>
      <c r="D13" s="273">
        <v>3.0054600000000002</v>
      </c>
      <c r="E13" s="273">
        <v>0.80712000000000006</v>
      </c>
      <c r="F13" s="273">
        <v>9.3349799999999998</v>
      </c>
      <c r="G13" s="273">
        <v>2.8355399999999999</v>
      </c>
      <c r="H13" s="273">
        <v>1.8439024390243905</v>
      </c>
      <c r="I13" s="273">
        <v>0.16992000000000002</v>
      </c>
      <c r="J13" s="273">
        <v>4.8493624390243903</v>
      </c>
      <c r="K13" s="273">
        <v>2.0520833333333335</v>
      </c>
      <c r="L13" s="273">
        <v>0.12628205128205128</v>
      </c>
      <c r="M13" s="273">
        <v>0.52682926829268306</v>
      </c>
      <c r="N13" s="273">
        <v>16.236425772357723</v>
      </c>
    </row>
    <row r="14" spans="2:18" s="61" customFormat="1" ht="12.75" x14ac:dyDescent="0.2">
      <c r="B14" s="113" t="s">
        <v>277</v>
      </c>
      <c r="C14" s="273">
        <v>5.2887600000000008</v>
      </c>
      <c r="D14" s="273">
        <v>3.2284800000000002</v>
      </c>
      <c r="E14" s="273">
        <v>0.78588000000000002</v>
      </c>
      <c r="F14" s="273">
        <v>9.3031200000000016</v>
      </c>
      <c r="G14" s="273">
        <v>2.8886400000000005</v>
      </c>
      <c r="H14" s="273">
        <v>2.765853658536586</v>
      </c>
      <c r="I14" s="273">
        <v>0.25488</v>
      </c>
      <c r="J14" s="273">
        <v>5.9093736585365866</v>
      </c>
      <c r="K14" s="273">
        <v>3.072916666666667</v>
      </c>
      <c r="L14" s="273">
        <v>0.18910256410256412</v>
      </c>
      <c r="M14" s="273">
        <v>0.79024390243902454</v>
      </c>
      <c r="N14" s="273">
        <v>18.285410325203255</v>
      </c>
    </row>
    <row r="15" spans="2:18" s="61" customFormat="1" ht="12.75" x14ac:dyDescent="0.2">
      <c r="B15" s="113" t="s">
        <v>278</v>
      </c>
      <c r="C15" s="273">
        <v>1.7098200000000001</v>
      </c>
      <c r="D15" s="273">
        <v>1.4018400000000002</v>
      </c>
      <c r="E15" s="273">
        <v>0.16992000000000002</v>
      </c>
      <c r="F15" s="273">
        <v>3.2815800000000004</v>
      </c>
      <c r="G15" s="273">
        <v>0.61595999999999995</v>
      </c>
      <c r="H15" s="273">
        <v>1.382926829268293</v>
      </c>
      <c r="I15" s="273">
        <v>0.12744</v>
      </c>
      <c r="J15" s="273">
        <v>2.1263268292682929</v>
      </c>
      <c r="K15" s="273">
        <v>1.53125</v>
      </c>
      <c r="L15" s="273">
        <v>9.4230769230769229E-2</v>
      </c>
      <c r="M15" s="273">
        <v>0.39512195121951227</v>
      </c>
      <c r="N15" s="273">
        <v>6.9391568292682937</v>
      </c>
    </row>
    <row r="16" spans="2:18" s="61" customFormat="1" ht="12.75" x14ac:dyDescent="0.2">
      <c r="B16" s="113" t="s">
        <v>279</v>
      </c>
      <c r="C16" s="273">
        <v>3.7382400000000002</v>
      </c>
      <c r="D16" s="273">
        <v>3.6957600000000004</v>
      </c>
      <c r="E16" s="273">
        <v>0.41418000000000005</v>
      </c>
      <c r="F16" s="273">
        <v>7.848180000000001</v>
      </c>
      <c r="G16" s="273">
        <v>2.3895</v>
      </c>
      <c r="H16" s="273">
        <v>9.6463414634146361</v>
      </c>
      <c r="I16" s="273">
        <v>0.90270000000000006</v>
      </c>
      <c r="J16" s="273">
        <v>12.938541463414635</v>
      </c>
      <c r="K16" s="273">
        <v>3.2083333333333335</v>
      </c>
      <c r="L16" s="273">
        <v>0.19743589743589746</v>
      </c>
      <c r="M16" s="273">
        <v>2.75609756097561</v>
      </c>
      <c r="N16" s="273">
        <v>23.995054796747972</v>
      </c>
    </row>
    <row r="17" spans="2:16" s="61" customFormat="1" ht="12.75" x14ac:dyDescent="0.2">
      <c r="B17" s="113" t="s">
        <v>280</v>
      </c>
      <c r="C17" s="282">
        <v>0.89207999999999998</v>
      </c>
      <c r="D17" s="273">
        <v>0.71154000000000006</v>
      </c>
      <c r="E17" s="273">
        <v>9.5579999999999998E-2</v>
      </c>
      <c r="F17" s="273">
        <v>1.6992</v>
      </c>
      <c r="G17" s="273">
        <v>0.65844000000000003</v>
      </c>
      <c r="H17" s="273">
        <v>2.6121951219512201</v>
      </c>
      <c r="I17" s="273">
        <v>0.24426000000000003</v>
      </c>
      <c r="J17" s="273">
        <v>3.5148951219512203</v>
      </c>
      <c r="K17" s="273">
        <v>0.86458333333333337</v>
      </c>
      <c r="L17" s="273">
        <v>5.3205128205128203E-2</v>
      </c>
      <c r="M17" s="273">
        <v>0.74634146341463425</v>
      </c>
      <c r="N17" s="273">
        <v>6.0786784552845541</v>
      </c>
    </row>
    <row r="18" spans="2:16" s="61" customFormat="1" ht="12.75" x14ac:dyDescent="0.2">
      <c r="B18" s="113" t="s">
        <v>281</v>
      </c>
      <c r="C18" s="282">
        <v>0.81774000000000002</v>
      </c>
      <c r="D18" s="273">
        <v>0.7009200000000001</v>
      </c>
      <c r="E18" s="273">
        <v>0.10620000000000002</v>
      </c>
      <c r="F18" s="273">
        <v>1.6248600000000002</v>
      </c>
      <c r="G18" s="273">
        <v>0.49913999999999997</v>
      </c>
      <c r="H18" s="273">
        <v>3.7219512195121958</v>
      </c>
      <c r="I18" s="273">
        <v>0.35046000000000005</v>
      </c>
      <c r="J18" s="273">
        <v>4.5715512195121955</v>
      </c>
      <c r="K18" s="273">
        <v>1.2395833333333333</v>
      </c>
      <c r="L18" s="273">
        <v>7.6282051282051275E-2</v>
      </c>
      <c r="M18" s="273">
        <v>1.0634146341463417</v>
      </c>
      <c r="N18" s="273">
        <v>7.4359945528455285</v>
      </c>
    </row>
    <row r="19" spans="2:16" s="61" customFormat="1" ht="12.75" x14ac:dyDescent="0.2">
      <c r="B19" s="113" t="s">
        <v>283</v>
      </c>
      <c r="C19" s="282">
        <v>0.52038000000000006</v>
      </c>
      <c r="D19" s="273">
        <v>0.44603999999999999</v>
      </c>
      <c r="E19" s="273">
        <v>7.4340000000000017E-2</v>
      </c>
      <c r="F19" s="273">
        <v>1.0407600000000001</v>
      </c>
      <c r="G19" s="273">
        <v>0.30797999999999998</v>
      </c>
      <c r="H19" s="273">
        <v>2.6292682926829274</v>
      </c>
      <c r="I19" s="273">
        <v>0.24426000000000003</v>
      </c>
      <c r="J19" s="273">
        <v>3.1815082926829277</v>
      </c>
      <c r="K19" s="273">
        <v>0.875</v>
      </c>
      <c r="L19" s="273">
        <v>5.3846153846153842E-2</v>
      </c>
      <c r="M19" s="273">
        <v>0.75121951219512206</v>
      </c>
      <c r="N19" s="273">
        <v>5.0972682926829282</v>
      </c>
    </row>
    <row r="20" spans="2:16" s="49" customFormat="1" ht="12.75" x14ac:dyDescent="0.2">
      <c r="B20" s="148" t="s">
        <v>262</v>
      </c>
      <c r="C20" s="84"/>
      <c r="D20" s="85"/>
      <c r="E20" s="85"/>
      <c r="F20" s="68"/>
    </row>
    <row r="21" spans="2:16" s="49" customFormat="1" ht="12.75" x14ac:dyDescent="0.2">
      <c r="B21" s="148"/>
      <c r="C21" s="84"/>
      <c r="D21" s="85"/>
      <c r="E21" s="85"/>
      <c r="F21" s="68"/>
    </row>
    <row r="22" spans="2:16" s="49" customFormat="1" ht="12.75" x14ac:dyDescent="0.2">
      <c r="B22" s="148"/>
      <c r="C22" s="84"/>
      <c r="D22" s="85"/>
      <c r="E22" s="85"/>
      <c r="F22" s="68"/>
    </row>
    <row r="23" spans="2:16" ht="21" customHeight="1" x14ac:dyDescent="0.2">
      <c r="B23" s="440" t="s">
        <v>341</v>
      </c>
      <c r="C23" s="441"/>
      <c r="D23" s="441"/>
      <c r="E23" s="441"/>
      <c r="F23" s="441"/>
      <c r="G23" s="441"/>
      <c r="H23" s="441"/>
      <c r="I23" s="441"/>
      <c r="J23" s="441"/>
      <c r="K23" s="441"/>
      <c r="L23" s="441"/>
      <c r="M23" s="441"/>
      <c r="N23" s="442"/>
      <c r="P23" s="356"/>
    </row>
    <row r="24" spans="2:16" ht="12.75" customHeight="1" x14ac:dyDescent="0.2">
      <c r="B24" s="183"/>
      <c r="C24" s="432" t="s">
        <v>27</v>
      </c>
      <c r="D24" s="433"/>
      <c r="E24" s="433"/>
      <c r="F24" s="434"/>
      <c r="G24" s="435" t="s">
        <v>71</v>
      </c>
      <c r="H24" s="436"/>
      <c r="I24" s="436"/>
      <c r="J24" s="437"/>
      <c r="K24" s="438" t="s">
        <v>24</v>
      </c>
      <c r="L24" s="439"/>
      <c r="M24" s="248" t="s">
        <v>1</v>
      </c>
      <c r="N24" s="417" t="s">
        <v>72</v>
      </c>
    </row>
    <row r="25" spans="2:16" ht="39" customHeight="1" x14ac:dyDescent="0.2">
      <c r="B25" s="184"/>
      <c r="C25" s="247" t="s">
        <v>193</v>
      </c>
      <c r="D25" s="194" t="s">
        <v>73</v>
      </c>
      <c r="E25" s="405" t="s">
        <v>220</v>
      </c>
      <c r="F25" s="247" t="s">
        <v>74</v>
      </c>
      <c r="G25" s="185" t="s">
        <v>69</v>
      </c>
      <c r="H25" s="185" t="s">
        <v>70</v>
      </c>
      <c r="I25" s="249" t="s">
        <v>213</v>
      </c>
      <c r="J25" s="185" t="s">
        <v>144</v>
      </c>
      <c r="K25" s="216"/>
      <c r="L25" s="216"/>
      <c r="M25" s="247"/>
      <c r="N25" s="418"/>
    </row>
    <row r="26" spans="2:16" ht="12" customHeight="1" x14ac:dyDescent="0.2">
      <c r="B26" s="186"/>
      <c r="C26" s="186"/>
      <c r="D26" s="186"/>
      <c r="E26" s="406"/>
      <c r="F26" s="187"/>
      <c r="G26" s="188"/>
      <c r="H26" s="188"/>
      <c r="I26" s="188"/>
      <c r="J26" s="188"/>
      <c r="K26" s="217" t="s">
        <v>148</v>
      </c>
      <c r="L26" s="217" t="s">
        <v>2</v>
      </c>
      <c r="M26" s="189" t="s">
        <v>3</v>
      </c>
      <c r="N26" s="190" t="s">
        <v>148</v>
      </c>
    </row>
    <row r="27" spans="2:16" s="160" customFormat="1" ht="12.75" x14ac:dyDescent="0.2">
      <c r="B27" s="252" t="s">
        <v>241</v>
      </c>
      <c r="C27" s="252"/>
      <c r="D27" s="252"/>
      <c r="E27" s="252"/>
      <c r="F27" s="252"/>
      <c r="G27" s="252"/>
      <c r="H27" s="252"/>
      <c r="I27" s="252"/>
      <c r="J27" s="252"/>
      <c r="K27" s="252"/>
      <c r="L27" s="252"/>
      <c r="M27" s="252"/>
      <c r="N27" s="252"/>
    </row>
    <row r="28" spans="2:16" x14ac:dyDescent="0.2">
      <c r="B28" s="191" t="str">
        <f>B8</f>
        <v>Pickup 3/4 ton 4WD, newer</v>
      </c>
      <c r="C28" s="274">
        <f t="shared" ref="C28:N28" si="0">C8</f>
        <v>1.4018200000000001</v>
      </c>
      <c r="D28" s="274">
        <f t="shared" si="0"/>
        <v>0.82212000000000007</v>
      </c>
      <c r="E28" s="274">
        <f t="shared" si="0"/>
        <v>0.74834000000000001</v>
      </c>
      <c r="F28" s="274">
        <f t="shared" si="0"/>
        <v>2.9722800000000005</v>
      </c>
      <c r="G28" s="274">
        <f t="shared" si="0"/>
        <v>0.79049999999999998</v>
      </c>
      <c r="H28" s="274">
        <f t="shared" si="0"/>
        <v>2.0146341463414634</v>
      </c>
      <c r="I28" s="274">
        <f t="shared" si="0"/>
        <v>0.18972</v>
      </c>
      <c r="J28" s="274">
        <f t="shared" si="0"/>
        <v>2.9948541463414631</v>
      </c>
      <c r="K28" s="274">
        <f t="shared" si="0"/>
        <v>3.572916666666667</v>
      </c>
      <c r="L28" s="275">
        <f t="shared" si="0"/>
        <v>0.2198717948717949</v>
      </c>
      <c r="M28" s="275">
        <f t="shared" si="0"/>
        <v>0.57560975609756104</v>
      </c>
      <c r="N28" s="274">
        <f t="shared" si="0"/>
        <v>9.5400508130081292</v>
      </c>
    </row>
    <row r="29" spans="2:16" x14ac:dyDescent="0.2">
      <c r="B29" s="191" t="str">
        <f>B9</f>
        <v>Pickup 3/4 ton 4WD, older</v>
      </c>
      <c r="C29" s="274">
        <f t="shared" ref="C29:N29" si="1">C9</f>
        <v>0.24242000000000002</v>
      </c>
      <c r="D29" s="274">
        <f t="shared" si="1"/>
        <v>0.15809999999999999</v>
      </c>
      <c r="E29" s="274">
        <f t="shared" si="1"/>
        <v>0.14756000000000002</v>
      </c>
      <c r="F29" s="274">
        <f t="shared" si="1"/>
        <v>0.54808000000000001</v>
      </c>
      <c r="G29" s="274">
        <f t="shared" si="1"/>
        <v>0.79049999999999998</v>
      </c>
      <c r="H29" s="274">
        <f t="shared" si="1"/>
        <v>0.34146341463414642</v>
      </c>
      <c r="I29" s="274">
        <f t="shared" si="1"/>
        <v>3.1620000000000002E-2</v>
      </c>
      <c r="J29" s="274">
        <f t="shared" si="1"/>
        <v>1.1635834146341464</v>
      </c>
      <c r="K29" s="274">
        <f t="shared" si="1"/>
        <v>1.1875</v>
      </c>
      <c r="L29" s="275">
        <f t="shared" si="1"/>
        <v>7.3076923076923067E-2</v>
      </c>
      <c r="M29" s="275">
        <f t="shared" si="1"/>
        <v>9.7560975609756115E-2</v>
      </c>
      <c r="N29" s="274">
        <f t="shared" si="1"/>
        <v>2.8991634146341467</v>
      </c>
    </row>
    <row r="30" spans="2:16" ht="15" customHeight="1" x14ac:dyDescent="0.2">
      <c r="B30" s="252" t="s">
        <v>243</v>
      </c>
      <c r="C30" s="195"/>
      <c r="D30" s="195"/>
      <c r="E30" s="195"/>
      <c r="F30" s="195"/>
      <c r="G30" s="195"/>
      <c r="H30" s="195"/>
      <c r="I30" s="195"/>
      <c r="J30" s="195"/>
      <c r="K30" s="195"/>
      <c r="L30" s="293"/>
      <c r="M30" s="293"/>
      <c r="N30" s="196"/>
    </row>
    <row r="31" spans="2:16" x14ac:dyDescent="0.2">
      <c r="B31" s="191" t="str">
        <f>B16</f>
        <v>350HP-WT + 10-B Plow</v>
      </c>
      <c r="C31" s="274">
        <f t="shared" ref="C31:N31" si="2">C16</f>
        <v>3.7382400000000002</v>
      </c>
      <c r="D31" s="274">
        <f t="shared" si="2"/>
        <v>3.6957600000000004</v>
      </c>
      <c r="E31" s="274">
        <f t="shared" si="2"/>
        <v>0.41418000000000005</v>
      </c>
      <c r="F31" s="274">
        <f t="shared" si="2"/>
        <v>7.848180000000001</v>
      </c>
      <c r="G31" s="274">
        <f t="shared" si="2"/>
        <v>2.3895</v>
      </c>
      <c r="H31" s="274">
        <f t="shared" si="2"/>
        <v>9.6463414634146361</v>
      </c>
      <c r="I31" s="274">
        <f t="shared" si="2"/>
        <v>0.90270000000000006</v>
      </c>
      <c r="J31" s="274">
        <f t="shared" si="2"/>
        <v>12.938541463414635</v>
      </c>
      <c r="K31" s="274">
        <f t="shared" si="2"/>
        <v>3.2083333333333335</v>
      </c>
      <c r="L31" s="275">
        <f t="shared" si="2"/>
        <v>0.19743589743589746</v>
      </c>
      <c r="M31" s="275">
        <f t="shared" si="2"/>
        <v>2.75609756097561</v>
      </c>
      <c r="N31" s="274">
        <f t="shared" si="2"/>
        <v>23.995054796747972</v>
      </c>
    </row>
    <row r="32" spans="2:16" x14ac:dyDescent="0.2">
      <c r="B32" s="191" t="str">
        <f>B17</f>
        <v>350HP-WT + 40' Cultivator</v>
      </c>
      <c r="C32" s="274">
        <f t="shared" ref="C32:N32" si="3">C17</f>
        <v>0.89207999999999998</v>
      </c>
      <c r="D32" s="274">
        <f t="shared" si="3"/>
        <v>0.71154000000000006</v>
      </c>
      <c r="E32" s="274">
        <f t="shared" si="3"/>
        <v>9.5579999999999998E-2</v>
      </c>
      <c r="F32" s="274">
        <f t="shared" si="3"/>
        <v>1.6992</v>
      </c>
      <c r="G32" s="274">
        <f t="shared" si="3"/>
        <v>0.65844000000000003</v>
      </c>
      <c r="H32" s="274">
        <f t="shared" si="3"/>
        <v>2.6121951219512201</v>
      </c>
      <c r="I32" s="274">
        <f t="shared" si="3"/>
        <v>0.24426000000000003</v>
      </c>
      <c r="J32" s="274">
        <f t="shared" si="3"/>
        <v>3.5148951219512203</v>
      </c>
      <c r="K32" s="274">
        <f t="shared" si="3"/>
        <v>0.86458333333333337</v>
      </c>
      <c r="L32" s="275">
        <f t="shared" si="3"/>
        <v>5.3205128205128203E-2</v>
      </c>
      <c r="M32" s="275">
        <f t="shared" si="3"/>
        <v>0.74634146341463425</v>
      </c>
      <c r="N32" s="274">
        <f t="shared" si="3"/>
        <v>6.0786784552845541</v>
      </c>
    </row>
    <row r="33" spans="2:14" x14ac:dyDescent="0.2">
      <c r="B33" s="191" t="str">
        <f>B19</f>
        <v>350HP-WT + Rented Fertilizer App.</v>
      </c>
      <c r="C33" s="274">
        <f t="shared" ref="C33:N33" si="4">C19</f>
        <v>0.52038000000000006</v>
      </c>
      <c r="D33" s="274">
        <f t="shared" si="4"/>
        <v>0.44603999999999999</v>
      </c>
      <c r="E33" s="274">
        <f t="shared" si="4"/>
        <v>7.4340000000000017E-2</v>
      </c>
      <c r="F33" s="274">
        <f t="shared" si="4"/>
        <v>1.0407600000000001</v>
      </c>
      <c r="G33" s="274">
        <f t="shared" si="4"/>
        <v>0.30797999999999998</v>
      </c>
      <c r="H33" s="274">
        <f t="shared" si="4"/>
        <v>2.6292682926829274</v>
      </c>
      <c r="I33" s="274">
        <f t="shared" si="4"/>
        <v>0.24426000000000003</v>
      </c>
      <c r="J33" s="274">
        <f t="shared" si="4"/>
        <v>3.1815082926829277</v>
      </c>
      <c r="K33" s="274">
        <f t="shared" si="4"/>
        <v>0.875</v>
      </c>
      <c r="L33" s="275">
        <f t="shared" si="4"/>
        <v>5.3846153846153842E-2</v>
      </c>
      <c r="M33" s="275">
        <f t="shared" si="4"/>
        <v>0.75121951219512206</v>
      </c>
      <c r="N33" s="274">
        <f t="shared" si="4"/>
        <v>5.0972682926829282</v>
      </c>
    </row>
    <row r="34" spans="2:14" x14ac:dyDescent="0.2">
      <c r="B34" s="191" t="str">
        <f>B18</f>
        <v>350HP-WT + 20' Spike Harrow</v>
      </c>
      <c r="C34" s="274">
        <f t="shared" ref="C34:N34" si="5">C18</f>
        <v>0.81774000000000002</v>
      </c>
      <c r="D34" s="274">
        <f t="shared" si="5"/>
        <v>0.7009200000000001</v>
      </c>
      <c r="E34" s="274">
        <f t="shared" si="5"/>
        <v>0.10620000000000002</v>
      </c>
      <c r="F34" s="274">
        <f t="shared" si="5"/>
        <v>1.6248600000000002</v>
      </c>
      <c r="G34" s="274">
        <f t="shared" si="5"/>
        <v>0.49913999999999997</v>
      </c>
      <c r="H34" s="274">
        <f t="shared" si="5"/>
        <v>3.7219512195121958</v>
      </c>
      <c r="I34" s="274">
        <f t="shared" si="5"/>
        <v>0.35046000000000005</v>
      </c>
      <c r="J34" s="274">
        <f t="shared" si="5"/>
        <v>4.5715512195121955</v>
      </c>
      <c r="K34" s="274">
        <f t="shared" si="5"/>
        <v>1.2395833333333333</v>
      </c>
      <c r="L34" s="275">
        <f t="shared" si="5"/>
        <v>7.6282051282051275E-2</v>
      </c>
      <c r="M34" s="275">
        <f t="shared" si="5"/>
        <v>1.0634146341463417</v>
      </c>
      <c r="N34" s="274">
        <f t="shared" si="5"/>
        <v>7.4359945528455285</v>
      </c>
    </row>
    <row r="35" spans="2:14" x14ac:dyDescent="0.2">
      <c r="B35" s="191" t="str">
        <f>B18</f>
        <v>350HP-WT + 20' Spike Harrow</v>
      </c>
      <c r="C35" s="274">
        <f t="shared" ref="C35:N35" si="6">C18</f>
        <v>0.81774000000000002</v>
      </c>
      <c r="D35" s="274">
        <f t="shared" si="6"/>
        <v>0.7009200000000001</v>
      </c>
      <c r="E35" s="274">
        <f t="shared" si="6"/>
        <v>0.10620000000000002</v>
      </c>
      <c r="F35" s="274">
        <f t="shared" si="6"/>
        <v>1.6248600000000002</v>
      </c>
      <c r="G35" s="274">
        <f t="shared" si="6"/>
        <v>0.49913999999999997</v>
      </c>
      <c r="H35" s="274">
        <f t="shared" si="6"/>
        <v>3.7219512195121958</v>
      </c>
      <c r="I35" s="274">
        <f t="shared" si="6"/>
        <v>0.35046000000000005</v>
      </c>
      <c r="J35" s="274">
        <f t="shared" si="6"/>
        <v>4.5715512195121955</v>
      </c>
      <c r="K35" s="274">
        <f t="shared" si="6"/>
        <v>1.2395833333333333</v>
      </c>
      <c r="L35" s="275">
        <f t="shared" si="6"/>
        <v>7.6282051282051275E-2</v>
      </c>
      <c r="M35" s="275">
        <f t="shared" si="6"/>
        <v>1.0634146341463417</v>
      </c>
      <c r="N35" s="274">
        <f t="shared" si="6"/>
        <v>7.4359945528455285</v>
      </c>
    </row>
    <row r="36" spans="2:14" x14ac:dyDescent="0.2">
      <c r="B36" s="191" t="str">
        <f>B12</f>
        <v>105HP-WT + 36' Drill</v>
      </c>
      <c r="C36" s="274">
        <f t="shared" ref="C36:N36" si="7">C12</f>
        <v>2.8886400000000005</v>
      </c>
      <c r="D36" s="274">
        <f t="shared" si="7"/>
        <v>2.1558600000000001</v>
      </c>
      <c r="E36" s="274">
        <f t="shared" si="7"/>
        <v>0.71154000000000006</v>
      </c>
      <c r="F36" s="274">
        <f t="shared" si="7"/>
        <v>5.7560400000000014</v>
      </c>
      <c r="G36" s="274">
        <f t="shared" si="7"/>
        <v>1.7098200000000001</v>
      </c>
      <c r="H36" s="274">
        <f t="shared" si="7"/>
        <v>1.1097560975609757</v>
      </c>
      <c r="I36" s="274">
        <f t="shared" si="7"/>
        <v>0.10620000000000002</v>
      </c>
      <c r="J36" s="274">
        <f t="shared" si="7"/>
        <v>2.9257760975609757</v>
      </c>
      <c r="K36" s="274">
        <f t="shared" si="7"/>
        <v>1.2291666666666667</v>
      </c>
      <c r="L36" s="275">
        <f t="shared" si="7"/>
        <v>7.5641025641025636E-2</v>
      </c>
      <c r="M36" s="275">
        <f t="shared" si="7"/>
        <v>0.31707317073170738</v>
      </c>
      <c r="N36" s="274">
        <f t="shared" si="7"/>
        <v>9.9109827642276436</v>
      </c>
    </row>
    <row r="37" spans="2:14" x14ac:dyDescent="0.2">
      <c r="B37" s="192" t="s">
        <v>7</v>
      </c>
      <c r="C37" s="193">
        <f>SUM(C28:C36)</f>
        <v>11.31906</v>
      </c>
      <c r="D37" s="193">
        <f t="shared" ref="D37:N37" si="8">SUM(D28:D36)</f>
        <v>9.3912600000000008</v>
      </c>
      <c r="E37" s="193">
        <f t="shared" si="8"/>
        <v>2.4039400000000004</v>
      </c>
      <c r="F37" s="193">
        <f t="shared" si="8"/>
        <v>23.114260000000005</v>
      </c>
      <c r="G37" s="193">
        <f t="shared" si="8"/>
        <v>7.6450199999999988</v>
      </c>
      <c r="H37" s="193">
        <f t="shared" si="8"/>
        <v>25.797560975609759</v>
      </c>
      <c r="I37" s="193">
        <f t="shared" si="8"/>
        <v>2.4196800000000001</v>
      </c>
      <c r="J37" s="193">
        <f t="shared" si="8"/>
        <v>35.862260975609757</v>
      </c>
      <c r="K37" s="193">
        <f t="shared" si="8"/>
        <v>13.416666666666668</v>
      </c>
      <c r="L37" s="193">
        <f t="shared" si="8"/>
        <v>0.82564102564102559</v>
      </c>
      <c r="M37" s="193">
        <f t="shared" si="8"/>
        <v>7.3707317073170735</v>
      </c>
      <c r="N37" s="193">
        <f t="shared" si="8"/>
        <v>72.39318764227643</v>
      </c>
    </row>
    <row r="39" spans="2:14" x14ac:dyDescent="0.2">
      <c r="B39" s="197" t="s">
        <v>8</v>
      </c>
    </row>
    <row r="41" spans="2:14" ht="21" customHeight="1" x14ac:dyDescent="0.2">
      <c r="B41" s="440" t="s">
        <v>342</v>
      </c>
      <c r="C41" s="441"/>
      <c r="D41" s="441"/>
      <c r="E41" s="441"/>
      <c r="F41" s="441"/>
      <c r="G41" s="441"/>
      <c r="H41" s="441"/>
      <c r="I41" s="441"/>
      <c r="J41" s="441"/>
      <c r="K41" s="441"/>
      <c r="L41" s="441"/>
      <c r="M41" s="441"/>
      <c r="N41" s="442"/>
    </row>
    <row r="42" spans="2:14" ht="12.75" customHeight="1" x14ac:dyDescent="0.2">
      <c r="B42" s="183"/>
      <c r="C42" s="432" t="s">
        <v>27</v>
      </c>
      <c r="D42" s="433"/>
      <c r="E42" s="433"/>
      <c r="F42" s="434"/>
      <c r="G42" s="435" t="s">
        <v>71</v>
      </c>
      <c r="H42" s="436"/>
      <c r="I42" s="436"/>
      <c r="J42" s="437"/>
      <c r="K42" s="438" t="s">
        <v>24</v>
      </c>
      <c r="L42" s="439"/>
      <c r="M42" s="248" t="s">
        <v>1</v>
      </c>
      <c r="N42" s="417" t="s">
        <v>72</v>
      </c>
    </row>
    <row r="43" spans="2:14" ht="39" customHeight="1" x14ac:dyDescent="0.2">
      <c r="B43" s="184"/>
      <c r="C43" s="247" t="s">
        <v>193</v>
      </c>
      <c r="D43" s="194" t="s">
        <v>73</v>
      </c>
      <c r="E43" s="405" t="s">
        <v>220</v>
      </c>
      <c r="F43" s="247" t="s">
        <v>74</v>
      </c>
      <c r="G43" s="185" t="s">
        <v>69</v>
      </c>
      <c r="H43" s="185" t="s">
        <v>70</v>
      </c>
      <c r="I43" s="249" t="s">
        <v>213</v>
      </c>
      <c r="J43" s="185" t="s">
        <v>144</v>
      </c>
      <c r="K43" s="216"/>
      <c r="L43" s="216"/>
      <c r="M43" s="247"/>
      <c r="N43" s="418"/>
    </row>
    <row r="44" spans="2:14" ht="12" customHeight="1" x14ac:dyDescent="0.2">
      <c r="B44" s="186"/>
      <c r="C44" s="186"/>
      <c r="D44" s="186"/>
      <c r="E44" s="406"/>
      <c r="F44" s="187"/>
      <c r="G44" s="188"/>
      <c r="H44" s="188"/>
      <c r="I44" s="188"/>
      <c r="J44" s="188"/>
      <c r="K44" s="217" t="s">
        <v>148</v>
      </c>
      <c r="L44" s="217" t="s">
        <v>2</v>
      </c>
      <c r="M44" s="189" t="s">
        <v>3</v>
      </c>
      <c r="N44" s="190" t="s">
        <v>148</v>
      </c>
    </row>
    <row r="45" spans="2:14" s="160" customFormat="1" ht="12.75" x14ac:dyDescent="0.2">
      <c r="B45" s="252" t="s">
        <v>241</v>
      </c>
      <c r="C45" s="252"/>
      <c r="D45" s="252"/>
      <c r="E45" s="252"/>
      <c r="F45" s="252"/>
      <c r="G45" s="252"/>
      <c r="H45" s="252"/>
      <c r="I45" s="252"/>
      <c r="J45" s="252"/>
      <c r="K45" s="252"/>
      <c r="L45" s="252"/>
      <c r="M45" s="252"/>
      <c r="N45" s="252"/>
    </row>
    <row r="46" spans="2:14" x14ac:dyDescent="0.2">
      <c r="B46" s="191" t="str">
        <f>B8</f>
        <v>Pickup 3/4 ton 4WD, newer</v>
      </c>
      <c r="C46" s="274">
        <f t="shared" ref="C46:N46" si="9">C8</f>
        <v>1.4018200000000001</v>
      </c>
      <c r="D46" s="274">
        <f t="shared" si="9"/>
        <v>0.82212000000000007</v>
      </c>
      <c r="E46" s="274">
        <f t="shared" si="9"/>
        <v>0.74834000000000001</v>
      </c>
      <c r="F46" s="274">
        <f t="shared" si="9"/>
        <v>2.9722800000000005</v>
      </c>
      <c r="G46" s="274">
        <f t="shared" si="9"/>
        <v>0.79049999999999998</v>
      </c>
      <c r="H46" s="274">
        <f t="shared" si="9"/>
        <v>2.0146341463414634</v>
      </c>
      <c r="I46" s="274">
        <f t="shared" si="9"/>
        <v>0.18972</v>
      </c>
      <c r="J46" s="274">
        <f t="shared" si="9"/>
        <v>2.9948541463414631</v>
      </c>
      <c r="K46" s="274">
        <f t="shared" si="9"/>
        <v>3.572916666666667</v>
      </c>
      <c r="L46" s="275">
        <f t="shared" si="9"/>
        <v>0.2198717948717949</v>
      </c>
      <c r="M46" s="275">
        <f t="shared" si="9"/>
        <v>0.57560975609756104</v>
      </c>
      <c r="N46" s="274">
        <f t="shared" si="9"/>
        <v>9.5400508130081292</v>
      </c>
    </row>
    <row r="47" spans="2:14" x14ac:dyDescent="0.2">
      <c r="B47" s="191" t="str">
        <f>B9</f>
        <v>Pickup 3/4 ton 4WD, older</v>
      </c>
      <c r="C47" s="274">
        <f t="shared" ref="C47:N47" si="10">C9</f>
        <v>0.24242000000000002</v>
      </c>
      <c r="D47" s="274">
        <f t="shared" si="10"/>
        <v>0.15809999999999999</v>
      </c>
      <c r="E47" s="274">
        <f t="shared" si="10"/>
        <v>0.14756000000000002</v>
      </c>
      <c r="F47" s="274">
        <f t="shared" si="10"/>
        <v>0.54808000000000001</v>
      </c>
      <c r="G47" s="274">
        <f t="shared" si="10"/>
        <v>0.79049999999999998</v>
      </c>
      <c r="H47" s="274">
        <f t="shared" si="10"/>
        <v>0.34146341463414642</v>
      </c>
      <c r="I47" s="274">
        <f t="shared" si="10"/>
        <v>3.1620000000000002E-2</v>
      </c>
      <c r="J47" s="274">
        <f t="shared" si="10"/>
        <v>1.1635834146341464</v>
      </c>
      <c r="K47" s="274">
        <f t="shared" si="10"/>
        <v>1.1875</v>
      </c>
      <c r="L47" s="275">
        <f t="shared" si="10"/>
        <v>7.3076923076923067E-2</v>
      </c>
      <c r="M47" s="275">
        <f t="shared" si="10"/>
        <v>9.7560975609756115E-2</v>
      </c>
      <c r="N47" s="274">
        <f t="shared" si="10"/>
        <v>2.8991634146341467</v>
      </c>
    </row>
    <row r="48" spans="2:14" ht="15" customHeight="1" x14ac:dyDescent="0.2">
      <c r="B48" s="252" t="s">
        <v>243</v>
      </c>
      <c r="C48" s="274"/>
      <c r="D48" s="274"/>
      <c r="E48" s="274"/>
      <c r="F48" s="274"/>
      <c r="G48" s="274"/>
      <c r="H48" s="274"/>
      <c r="I48" s="274"/>
      <c r="J48" s="274"/>
      <c r="K48" s="274"/>
      <c r="L48" s="293"/>
      <c r="M48" s="293"/>
      <c r="N48" s="274"/>
    </row>
    <row r="49" spans="2:14" x14ac:dyDescent="0.2">
      <c r="B49" s="373" t="str">
        <f>B19</f>
        <v>350HP-WT + Rented Fertilizer App.</v>
      </c>
      <c r="C49" s="274">
        <f t="shared" ref="C49:N49" si="11">C19</f>
        <v>0.52038000000000006</v>
      </c>
      <c r="D49" s="274">
        <f t="shared" si="11"/>
        <v>0.44603999999999999</v>
      </c>
      <c r="E49" s="274">
        <f t="shared" si="11"/>
        <v>7.4340000000000017E-2</v>
      </c>
      <c r="F49" s="274">
        <f t="shared" si="11"/>
        <v>1.0407600000000001</v>
      </c>
      <c r="G49" s="274">
        <f t="shared" si="11"/>
        <v>0.30797999999999998</v>
      </c>
      <c r="H49" s="274">
        <f t="shared" si="11"/>
        <v>2.6292682926829274</v>
      </c>
      <c r="I49" s="274">
        <f t="shared" si="11"/>
        <v>0.24426000000000003</v>
      </c>
      <c r="J49" s="274">
        <f t="shared" si="11"/>
        <v>3.1815082926829277</v>
      </c>
      <c r="K49" s="274">
        <f t="shared" si="11"/>
        <v>0.875</v>
      </c>
      <c r="L49" s="275">
        <f t="shared" si="11"/>
        <v>5.3846153846153842E-2</v>
      </c>
      <c r="M49" s="275">
        <f t="shared" si="11"/>
        <v>0.75121951219512206</v>
      </c>
      <c r="N49" s="274">
        <f t="shared" si="11"/>
        <v>5.0972682926829282</v>
      </c>
    </row>
    <row r="50" spans="2:14" x14ac:dyDescent="0.2">
      <c r="B50" s="374" t="str">
        <f>B14</f>
        <v>105HP-WT + Mower/Conditioner</v>
      </c>
      <c r="C50" s="274">
        <f t="shared" ref="C50:N50" si="12">C14</f>
        <v>5.2887600000000008</v>
      </c>
      <c r="D50" s="274">
        <f t="shared" si="12"/>
        <v>3.2284800000000002</v>
      </c>
      <c r="E50" s="274">
        <f t="shared" si="12"/>
        <v>0.78588000000000002</v>
      </c>
      <c r="F50" s="274">
        <f t="shared" si="12"/>
        <v>9.3031200000000016</v>
      </c>
      <c r="G50" s="274">
        <f t="shared" si="12"/>
        <v>2.8886400000000005</v>
      </c>
      <c r="H50" s="274">
        <f t="shared" si="12"/>
        <v>2.765853658536586</v>
      </c>
      <c r="I50" s="274">
        <f t="shared" si="12"/>
        <v>0.25488</v>
      </c>
      <c r="J50" s="274">
        <f t="shared" si="12"/>
        <v>5.9093736585365866</v>
      </c>
      <c r="K50" s="274">
        <f t="shared" si="12"/>
        <v>3.072916666666667</v>
      </c>
      <c r="L50" s="274">
        <f t="shared" si="12"/>
        <v>0.18910256410256412</v>
      </c>
      <c r="M50" s="274">
        <f t="shared" si="12"/>
        <v>0.79024390243902454</v>
      </c>
      <c r="N50" s="274">
        <f t="shared" si="12"/>
        <v>18.285410325203255</v>
      </c>
    </row>
    <row r="51" spans="2:14" x14ac:dyDescent="0.2">
      <c r="B51" s="374" t="str">
        <f>B15</f>
        <v>105HP-WT + Hay Rake</v>
      </c>
      <c r="C51" s="274">
        <f t="shared" ref="C51:N51" si="13">C15</f>
        <v>1.7098200000000001</v>
      </c>
      <c r="D51" s="274">
        <f t="shared" si="13"/>
        <v>1.4018400000000002</v>
      </c>
      <c r="E51" s="274">
        <f t="shared" si="13"/>
        <v>0.16992000000000002</v>
      </c>
      <c r="F51" s="274">
        <f t="shared" si="13"/>
        <v>3.2815800000000004</v>
      </c>
      <c r="G51" s="274">
        <f t="shared" si="13"/>
        <v>0.61595999999999995</v>
      </c>
      <c r="H51" s="274">
        <f t="shared" si="13"/>
        <v>1.382926829268293</v>
      </c>
      <c r="I51" s="274">
        <f t="shared" si="13"/>
        <v>0.12744</v>
      </c>
      <c r="J51" s="274">
        <f t="shared" si="13"/>
        <v>2.1263268292682929</v>
      </c>
      <c r="K51" s="274">
        <f t="shared" si="13"/>
        <v>1.53125</v>
      </c>
      <c r="L51" s="274">
        <f t="shared" si="13"/>
        <v>9.4230769230769229E-2</v>
      </c>
      <c r="M51" s="274">
        <f t="shared" si="13"/>
        <v>0.39512195121951227</v>
      </c>
      <c r="N51" s="274">
        <f t="shared" si="13"/>
        <v>6.9391568292682937</v>
      </c>
    </row>
    <row r="52" spans="2:14" x14ac:dyDescent="0.2">
      <c r="B52" s="374" t="str">
        <f>B13</f>
        <v>105HP-WT + 16 x 18 Baler</v>
      </c>
      <c r="C52" s="274">
        <f t="shared" ref="C52:N52" si="14">C13</f>
        <v>5.5224000000000002</v>
      </c>
      <c r="D52" s="274">
        <f t="shared" si="14"/>
        <v>3.0054600000000002</v>
      </c>
      <c r="E52" s="274">
        <f t="shared" si="14"/>
        <v>0.80712000000000006</v>
      </c>
      <c r="F52" s="274">
        <f t="shared" si="14"/>
        <v>9.3349799999999998</v>
      </c>
      <c r="G52" s="274">
        <f t="shared" si="14"/>
        <v>2.8355399999999999</v>
      </c>
      <c r="H52" s="274">
        <f t="shared" si="14"/>
        <v>1.8439024390243905</v>
      </c>
      <c r="I52" s="274">
        <f t="shared" si="14"/>
        <v>0.16992000000000002</v>
      </c>
      <c r="J52" s="274">
        <f t="shared" si="14"/>
        <v>4.8493624390243903</v>
      </c>
      <c r="K52" s="274">
        <f t="shared" si="14"/>
        <v>2.0520833333333335</v>
      </c>
      <c r="L52" s="274">
        <f t="shared" si="14"/>
        <v>0.12628205128205128</v>
      </c>
      <c r="M52" s="274">
        <f t="shared" si="14"/>
        <v>0.52682926829268306</v>
      </c>
      <c r="N52" s="274">
        <f t="shared" si="14"/>
        <v>16.236425772357723</v>
      </c>
    </row>
    <row r="53" spans="2:14" x14ac:dyDescent="0.2">
      <c r="B53" s="191" t="str">
        <f>B14</f>
        <v>105HP-WT + Mower/Conditioner</v>
      </c>
      <c r="C53" s="274">
        <f t="shared" ref="C53:N53" si="15">C14</f>
        <v>5.2887600000000008</v>
      </c>
      <c r="D53" s="274">
        <f t="shared" si="15"/>
        <v>3.2284800000000002</v>
      </c>
      <c r="E53" s="274">
        <f t="shared" si="15"/>
        <v>0.78588000000000002</v>
      </c>
      <c r="F53" s="274">
        <f t="shared" si="15"/>
        <v>9.3031200000000016</v>
      </c>
      <c r="G53" s="274">
        <f t="shared" si="15"/>
        <v>2.8886400000000005</v>
      </c>
      <c r="H53" s="274">
        <f t="shared" si="15"/>
        <v>2.765853658536586</v>
      </c>
      <c r="I53" s="274">
        <f t="shared" si="15"/>
        <v>0.25488</v>
      </c>
      <c r="J53" s="274">
        <f t="shared" si="15"/>
        <v>5.9093736585365866</v>
      </c>
      <c r="K53" s="274">
        <f t="shared" si="15"/>
        <v>3.072916666666667</v>
      </c>
      <c r="L53" s="275">
        <f t="shared" si="15"/>
        <v>0.18910256410256412</v>
      </c>
      <c r="M53" s="275">
        <f t="shared" si="15"/>
        <v>0.79024390243902454</v>
      </c>
      <c r="N53" s="274">
        <f t="shared" si="15"/>
        <v>18.285410325203255</v>
      </c>
    </row>
    <row r="54" spans="2:14" x14ac:dyDescent="0.2">
      <c r="B54" s="191" t="str">
        <f>B15</f>
        <v>105HP-WT + Hay Rake</v>
      </c>
      <c r="C54" s="274">
        <f t="shared" ref="C54:N54" si="16">C15</f>
        <v>1.7098200000000001</v>
      </c>
      <c r="D54" s="274">
        <f t="shared" si="16"/>
        <v>1.4018400000000002</v>
      </c>
      <c r="E54" s="274">
        <f t="shared" si="16"/>
        <v>0.16992000000000002</v>
      </c>
      <c r="F54" s="274">
        <f t="shared" si="16"/>
        <v>3.2815800000000004</v>
      </c>
      <c r="G54" s="274">
        <f t="shared" si="16"/>
        <v>0.61595999999999995</v>
      </c>
      <c r="H54" s="274">
        <f t="shared" si="16"/>
        <v>1.382926829268293</v>
      </c>
      <c r="I54" s="274">
        <f t="shared" si="16"/>
        <v>0.12744</v>
      </c>
      <c r="J54" s="274">
        <f t="shared" si="16"/>
        <v>2.1263268292682929</v>
      </c>
      <c r="K54" s="274">
        <f t="shared" si="16"/>
        <v>1.53125</v>
      </c>
      <c r="L54" s="275">
        <f t="shared" si="16"/>
        <v>9.4230769230769229E-2</v>
      </c>
      <c r="M54" s="275">
        <f t="shared" si="16"/>
        <v>0.39512195121951227</v>
      </c>
      <c r="N54" s="274">
        <f t="shared" si="16"/>
        <v>6.9391568292682937</v>
      </c>
    </row>
    <row r="55" spans="2:14" x14ac:dyDescent="0.2">
      <c r="B55" s="191" t="str">
        <f t="shared" ref="B55:N55" si="17">B13</f>
        <v>105HP-WT + 16 x 18 Baler</v>
      </c>
      <c r="C55" s="274">
        <f t="shared" si="17"/>
        <v>5.5224000000000002</v>
      </c>
      <c r="D55" s="274">
        <f t="shared" si="17"/>
        <v>3.0054600000000002</v>
      </c>
      <c r="E55" s="274">
        <f t="shared" si="17"/>
        <v>0.80712000000000006</v>
      </c>
      <c r="F55" s="274">
        <f t="shared" si="17"/>
        <v>9.3349799999999998</v>
      </c>
      <c r="G55" s="274">
        <f t="shared" si="17"/>
        <v>2.8355399999999999</v>
      </c>
      <c r="H55" s="274">
        <f t="shared" si="17"/>
        <v>1.8439024390243905</v>
      </c>
      <c r="I55" s="274">
        <f t="shared" si="17"/>
        <v>0.16992000000000002</v>
      </c>
      <c r="J55" s="274">
        <f t="shared" si="17"/>
        <v>4.8493624390243903</v>
      </c>
      <c r="K55" s="274">
        <f t="shared" si="17"/>
        <v>2.0520833333333335</v>
      </c>
      <c r="L55" s="275">
        <f t="shared" si="17"/>
        <v>0.12628205128205128</v>
      </c>
      <c r="M55" s="275">
        <f t="shared" si="17"/>
        <v>0.52682926829268306</v>
      </c>
      <c r="N55" s="274">
        <f t="shared" si="17"/>
        <v>16.236425772357723</v>
      </c>
    </row>
    <row r="56" spans="2:14" x14ac:dyDescent="0.2">
      <c r="B56" s="192" t="s">
        <v>7</v>
      </c>
      <c r="C56" s="193">
        <f>SUM(C46:C55)</f>
        <v>27.206580000000002</v>
      </c>
      <c r="D56" s="193">
        <f t="shared" ref="D56:N56" si="18">SUM(D46:D55)</f>
        <v>16.69782</v>
      </c>
      <c r="E56" s="193">
        <f t="shared" si="18"/>
        <v>4.4960800000000001</v>
      </c>
      <c r="F56" s="193">
        <f t="shared" si="18"/>
        <v>48.400480000000002</v>
      </c>
      <c r="G56" s="193">
        <f t="shared" si="18"/>
        <v>14.569260000000002</v>
      </c>
      <c r="H56" s="193">
        <f t="shared" si="18"/>
        <v>16.970731707317075</v>
      </c>
      <c r="I56" s="193">
        <f t="shared" si="18"/>
        <v>1.5700800000000001</v>
      </c>
      <c r="J56" s="193">
        <f t="shared" si="18"/>
        <v>33.110071707317076</v>
      </c>
      <c r="K56" s="193">
        <f t="shared" si="18"/>
        <v>18.947916666666668</v>
      </c>
      <c r="L56" s="193">
        <f t="shared" si="18"/>
        <v>1.1660256410256409</v>
      </c>
      <c r="M56" s="193">
        <f t="shared" si="18"/>
        <v>4.8487804878048788</v>
      </c>
      <c r="N56" s="193">
        <f t="shared" si="18"/>
        <v>100.45846837398375</v>
      </c>
    </row>
  </sheetData>
  <mergeCells count="27">
    <mergeCell ref="N42:N43"/>
    <mergeCell ref="E43:E44"/>
    <mergeCell ref="B2:N2"/>
    <mergeCell ref="B3:N3"/>
    <mergeCell ref="C4:E4"/>
    <mergeCell ref="G4:J4"/>
    <mergeCell ref="K4:L4"/>
    <mergeCell ref="C42:F42"/>
    <mergeCell ref="G42:J42"/>
    <mergeCell ref="K42:L42"/>
    <mergeCell ref="B23:N23"/>
    <mergeCell ref="C24:F24"/>
    <mergeCell ref="G24:J24"/>
    <mergeCell ref="B41:N41"/>
    <mergeCell ref="K24:L24"/>
    <mergeCell ref="N24:N25"/>
    <mergeCell ref="E25:E26"/>
    <mergeCell ref="B7:N7"/>
    <mergeCell ref="N4:N5"/>
    <mergeCell ref="C5:C6"/>
    <mergeCell ref="D5:D6"/>
    <mergeCell ref="E5:E6"/>
    <mergeCell ref="F5:F6"/>
    <mergeCell ref="G5:G6"/>
    <mergeCell ref="H5:H6"/>
    <mergeCell ref="I5:I6"/>
    <mergeCell ref="J5:J6"/>
  </mergeCells>
  <phoneticPr fontId="5" type="noConversion"/>
  <hyperlinks>
    <hyperlink ref="B39" location="A1" display="Back to Costs by Crop"/>
  </hyperlinks>
  <printOptions horizontalCentered="1"/>
  <pageMargins left="0.75" right="0.75" top="1" bottom="1" header="0" footer="0.5"/>
  <pageSetup scale="92" fitToHeight="2" orientation="landscape" r:id="rId1"/>
  <headerFooter alignWithMargins="0">
    <oddFooter>&amp;L&amp;A&amp;C                      &amp;F&amp;R&amp;D</oddFooter>
  </headerFooter>
  <rowBreaks count="1" manualBreakCount="1">
    <brk id="22" min="1"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activeCell="M11" sqref="M11"/>
    </sheetView>
  </sheetViews>
  <sheetFormatPr defaultRowHeight="12.75" x14ac:dyDescent="0.2"/>
  <cols>
    <col min="1" max="1" width="33.140625" customWidth="1"/>
  </cols>
  <sheetData>
    <row r="1" spans="1:13" ht="15.75" x14ac:dyDescent="0.25">
      <c r="A1" s="419" t="s">
        <v>234</v>
      </c>
      <c r="B1" s="420"/>
      <c r="C1" s="420"/>
      <c r="D1" s="420"/>
      <c r="E1" s="420"/>
      <c r="F1" s="420"/>
      <c r="G1" s="420"/>
      <c r="H1" s="420"/>
      <c r="I1" s="420"/>
      <c r="J1" s="420"/>
      <c r="K1" s="420"/>
      <c r="L1" s="420"/>
      <c r="M1" s="420"/>
    </row>
    <row r="2" spans="1:13" x14ac:dyDescent="0.2">
      <c r="A2" s="421" t="s">
        <v>235</v>
      </c>
      <c r="B2" s="422"/>
      <c r="C2" s="422"/>
      <c r="D2" s="422"/>
      <c r="E2" s="422"/>
      <c r="F2" s="422"/>
      <c r="G2" s="422"/>
      <c r="H2" s="422"/>
      <c r="I2" s="422"/>
      <c r="J2" s="422"/>
      <c r="K2" s="422"/>
      <c r="L2" s="422"/>
      <c r="M2" s="423"/>
    </row>
    <row r="3" spans="1:13" x14ac:dyDescent="0.2">
      <c r="A3" s="91"/>
      <c r="B3" s="424" t="s">
        <v>236</v>
      </c>
      <c r="C3" s="425"/>
      <c r="D3" s="426"/>
      <c r="E3" s="352"/>
      <c r="F3" s="427" t="s">
        <v>237</v>
      </c>
      <c r="G3" s="428"/>
      <c r="H3" s="428"/>
      <c r="I3" s="429"/>
      <c r="J3" s="430" t="s">
        <v>24</v>
      </c>
      <c r="K3" s="431"/>
      <c r="L3" s="353" t="s">
        <v>1</v>
      </c>
      <c r="M3" s="410" t="s">
        <v>72</v>
      </c>
    </row>
    <row r="4" spans="1:13" x14ac:dyDescent="0.2">
      <c r="A4" s="92"/>
      <c r="B4" s="412" t="s">
        <v>282</v>
      </c>
      <c r="C4" s="414" t="s">
        <v>238</v>
      </c>
      <c r="D4" s="414" t="s">
        <v>220</v>
      </c>
      <c r="E4" s="414" t="s">
        <v>239</v>
      </c>
      <c r="F4" s="416" t="s">
        <v>69</v>
      </c>
      <c r="G4" s="416" t="s">
        <v>70</v>
      </c>
      <c r="H4" s="416" t="s">
        <v>240</v>
      </c>
      <c r="I4" s="416" t="s">
        <v>144</v>
      </c>
      <c r="J4" s="354"/>
      <c r="K4" s="354"/>
      <c r="L4" s="354"/>
      <c r="M4" s="411"/>
    </row>
    <row r="5" spans="1:13" x14ac:dyDescent="0.2">
      <c r="A5" s="94"/>
      <c r="B5" s="413"/>
      <c r="C5" s="415"/>
      <c r="D5" s="415"/>
      <c r="E5" s="415"/>
      <c r="F5" s="415"/>
      <c r="G5" s="415"/>
      <c r="H5" s="415"/>
      <c r="I5" s="415"/>
      <c r="J5" s="266" t="s">
        <v>148</v>
      </c>
      <c r="K5" s="266" t="s">
        <v>2</v>
      </c>
      <c r="L5" s="267" t="s">
        <v>3</v>
      </c>
      <c r="M5" s="268" t="s">
        <v>148</v>
      </c>
    </row>
    <row r="6" spans="1:13" x14ac:dyDescent="0.2">
      <c r="A6" s="407" t="s">
        <v>241</v>
      </c>
      <c r="B6" s="408"/>
      <c r="C6" s="408"/>
      <c r="D6" s="408"/>
      <c r="E6" s="408"/>
      <c r="F6" s="408"/>
      <c r="G6" s="408"/>
      <c r="H6" s="408"/>
      <c r="I6" s="408"/>
      <c r="J6" s="408"/>
      <c r="K6" s="408"/>
      <c r="L6" s="408"/>
      <c r="M6" s="409"/>
    </row>
    <row r="7" spans="1:13" x14ac:dyDescent="0.2">
      <c r="A7" s="269" t="s">
        <v>272</v>
      </c>
      <c r="B7" s="270">
        <v>1.33</v>
      </c>
      <c r="C7" s="271">
        <v>0.78</v>
      </c>
      <c r="D7" s="271">
        <v>0.71</v>
      </c>
      <c r="E7" s="271">
        <f>SUM(B7:D7)</f>
        <v>2.8200000000000003</v>
      </c>
      <c r="F7" s="271">
        <v>0.75</v>
      </c>
      <c r="G7" s="271">
        <v>1.18</v>
      </c>
      <c r="H7" s="271">
        <v>0.18</v>
      </c>
      <c r="I7" s="271">
        <f>SUM(F7:H7)</f>
        <v>2.11</v>
      </c>
      <c r="J7" s="271">
        <v>3.43</v>
      </c>
      <c r="K7" s="272">
        <f>J7/15.6</f>
        <v>0.2198717948717949</v>
      </c>
      <c r="L7" s="272">
        <f>G7/2.05</f>
        <v>0.57560975609756104</v>
      </c>
      <c r="M7" s="271">
        <f>J7+I7+E7</f>
        <v>8.36</v>
      </c>
    </row>
    <row r="8" spans="1:13" x14ac:dyDescent="0.2">
      <c r="A8" s="269" t="s">
        <v>273</v>
      </c>
      <c r="B8" s="270">
        <v>0.23</v>
      </c>
      <c r="C8" s="271">
        <v>0.15</v>
      </c>
      <c r="D8" s="271">
        <v>0.14000000000000001</v>
      </c>
      <c r="E8" s="271">
        <f>SUM(B8:D8)</f>
        <v>0.52</v>
      </c>
      <c r="F8" s="271">
        <v>0.75</v>
      </c>
      <c r="G8" s="271">
        <v>0.2</v>
      </c>
      <c r="H8" s="271">
        <v>0.03</v>
      </c>
      <c r="I8" s="271">
        <f>SUM(F8:H8)</f>
        <v>0.98</v>
      </c>
      <c r="J8" s="271">
        <v>1.1399999999999999</v>
      </c>
      <c r="K8" s="272">
        <f>J8/15.6</f>
        <v>7.3076923076923067E-2</v>
      </c>
      <c r="L8" s="272">
        <f>G8/2.05</f>
        <v>9.7560975609756115E-2</v>
      </c>
      <c r="M8" s="271">
        <f>J8+I8+E8</f>
        <v>2.64</v>
      </c>
    </row>
    <row r="9" spans="1:13" x14ac:dyDescent="0.2">
      <c r="A9" s="269" t="s">
        <v>242</v>
      </c>
      <c r="B9" s="270">
        <f t="shared" ref="B9:M9" si="0">SUM(B7:B8)</f>
        <v>1.56</v>
      </c>
      <c r="C9" s="270">
        <f t="shared" si="0"/>
        <v>0.93</v>
      </c>
      <c r="D9" s="270">
        <f t="shared" si="0"/>
        <v>0.85</v>
      </c>
      <c r="E9" s="270">
        <f t="shared" si="0"/>
        <v>3.3400000000000003</v>
      </c>
      <c r="F9" s="270">
        <f t="shared" si="0"/>
        <v>1.5</v>
      </c>
      <c r="G9" s="270">
        <f t="shared" si="0"/>
        <v>1.38</v>
      </c>
      <c r="H9" s="270">
        <f t="shared" si="0"/>
        <v>0.21</v>
      </c>
      <c r="I9" s="270">
        <f t="shared" si="0"/>
        <v>3.09</v>
      </c>
      <c r="J9" s="270">
        <f t="shared" si="0"/>
        <v>4.57</v>
      </c>
      <c r="K9" s="270">
        <f t="shared" si="0"/>
        <v>0.29294871794871796</v>
      </c>
      <c r="L9" s="270">
        <f t="shared" si="0"/>
        <v>0.67317073170731712</v>
      </c>
      <c r="M9" s="270">
        <f t="shared" si="0"/>
        <v>11</v>
      </c>
    </row>
    <row r="10" spans="1:13" x14ac:dyDescent="0.2">
      <c r="A10" s="355" t="s">
        <v>243</v>
      </c>
      <c r="B10" s="113"/>
      <c r="C10" s="113"/>
      <c r="D10" s="113"/>
      <c r="E10" s="113"/>
      <c r="F10" s="113"/>
      <c r="G10" s="113"/>
      <c r="H10" s="113"/>
      <c r="I10" s="113"/>
      <c r="J10" s="113"/>
      <c r="K10" s="113"/>
      <c r="L10" s="113"/>
      <c r="M10" s="113"/>
    </row>
    <row r="11" spans="1:13" x14ac:dyDescent="0.2">
      <c r="A11" s="113" t="s">
        <v>275</v>
      </c>
      <c r="B11" s="273">
        <v>2.72</v>
      </c>
      <c r="C11" s="273">
        <v>2.0299999999999998</v>
      </c>
      <c r="D11" s="273">
        <v>0.67</v>
      </c>
      <c r="E11" s="273">
        <f t="shared" ref="E11:E18" si="1">SUM(B11:D11)</f>
        <v>5.42</v>
      </c>
      <c r="F11" s="273">
        <v>1.61</v>
      </c>
      <c r="G11" s="273">
        <v>0.65</v>
      </c>
      <c r="H11" s="273">
        <v>0.1</v>
      </c>
      <c r="I11" s="273">
        <f t="shared" ref="I11:I18" si="2">SUM(F11:H11)</f>
        <v>2.3600000000000003</v>
      </c>
      <c r="J11" s="273">
        <v>1.18</v>
      </c>
      <c r="K11" s="273">
        <f t="shared" ref="K11:K18" si="3">J11/15.6</f>
        <v>7.5641025641025636E-2</v>
      </c>
      <c r="L11" s="273">
        <f t="shared" ref="L11:L18" si="4">G11/2.05</f>
        <v>0.31707317073170738</v>
      </c>
      <c r="M11" s="273">
        <f t="shared" ref="M11:M18" si="5">J11+I11+E11</f>
        <v>8.9600000000000009</v>
      </c>
    </row>
    <row r="12" spans="1:13" x14ac:dyDescent="0.2">
      <c r="A12" s="113" t="s">
        <v>276</v>
      </c>
      <c r="B12" s="273">
        <v>5.2</v>
      </c>
      <c r="C12" s="273">
        <v>2.83</v>
      </c>
      <c r="D12" s="273">
        <v>0.76</v>
      </c>
      <c r="E12" s="273">
        <f t="shared" si="1"/>
        <v>8.7900000000000009</v>
      </c>
      <c r="F12" s="273">
        <v>2.67</v>
      </c>
      <c r="G12" s="273">
        <v>1.08</v>
      </c>
      <c r="H12" s="273">
        <v>0.16</v>
      </c>
      <c r="I12" s="273">
        <f t="shared" si="2"/>
        <v>3.91</v>
      </c>
      <c r="J12" s="273">
        <v>1.97</v>
      </c>
      <c r="K12" s="273">
        <f t="shared" si="3"/>
        <v>0.12628205128205128</v>
      </c>
      <c r="L12" s="273">
        <f t="shared" si="4"/>
        <v>0.52682926829268306</v>
      </c>
      <c r="M12" s="273">
        <f t="shared" si="5"/>
        <v>14.670000000000002</v>
      </c>
    </row>
    <row r="13" spans="1:13" x14ac:dyDescent="0.2">
      <c r="A13" s="113" t="s">
        <v>277</v>
      </c>
      <c r="B13" s="273">
        <v>4.9800000000000004</v>
      </c>
      <c r="C13" s="273">
        <v>3.04</v>
      </c>
      <c r="D13" s="273">
        <v>0.74</v>
      </c>
      <c r="E13" s="273">
        <f t="shared" si="1"/>
        <v>8.76</v>
      </c>
      <c r="F13" s="273">
        <v>2.72</v>
      </c>
      <c r="G13" s="273">
        <v>1.62</v>
      </c>
      <c r="H13" s="273">
        <v>0.24</v>
      </c>
      <c r="I13" s="273">
        <f t="shared" si="2"/>
        <v>4.58</v>
      </c>
      <c r="J13" s="273">
        <v>2.95</v>
      </c>
      <c r="K13" s="273">
        <f t="shared" si="3"/>
        <v>0.18910256410256412</v>
      </c>
      <c r="L13" s="273">
        <f t="shared" si="4"/>
        <v>0.79024390243902454</v>
      </c>
      <c r="M13" s="273">
        <f t="shared" si="5"/>
        <v>16.29</v>
      </c>
    </row>
    <row r="14" spans="1:13" x14ac:dyDescent="0.2">
      <c r="A14" s="113" t="s">
        <v>278</v>
      </c>
      <c r="B14" s="273">
        <v>1.61</v>
      </c>
      <c r="C14" s="273">
        <v>1.32</v>
      </c>
      <c r="D14" s="273">
        <v>0.16</v>
      </c>
      <c r="E14" s="273">
        <f t="shared" si="1"/>
        <v>3.0900000000000003</v>
      </c>
      <c r="F14" s="273">
        <v>0.57999999999999996</v>
      </c>
      <c r="G14" s="273">
        <v>0.81</v>
      </c>
      <c r="H14" s="273">
        <v>0.12</v>
      </c>
      <c r="I14" s="273">
        <f t="shared" si="2"/>
        <v>1.5100000000000002</v>
      </c>
      <c r="J14" s="273">
        <v>1.47</v>
      </c>
      <c r="K14" s="273">
        <f t="shared" si="3"/>
        <v>9.4230769230769229E-2</v>
      </c>
      <c r="L14" s="273">
        <f t="shared" si="4"/>
        <v>0.39512195121951227</v>
      </c>
      <c r="M14" s="273">
        <f t="shared" si="5"/>
        <v>6.07</v>
      </c>
    </row>
    <row r="15" spans="1:13" x14ac:dyDescent="0.2">
      <c r="A15" s="113" t="s">
        <v>279</v>
      </c>
      <c r="B15" s="273">
        <v>3.52</v>
      </c>
      <c r="C15" s="273">
        <v>3.48</v>
      </c>
      <c r="D15" s="273">
        <v>0.39</v>
      </c>
      <c r="E15" s="273">
        <f t="shared" si="1"/>
        <v>7.39</v>
      </c>
      <c r="F15" s="273">
        <v>2.25</v>
      </c>
      <c r="G15" s="273">
        <v>5.65</v>
      </c>
      <c r="H15" s="273">
        <v>0.85</v>
      </c>
      <c r="I15" s="273">
        <f t="shared" si="2"/>
        <v>8.75</v>
      </c>
      <c r="J15" s="273">
        <v>3.08</v>
      </c>
      <c r="K15" s="273">
        <f t="shared" si="3"/>
        <v>0.19743589743589746</v>
      </c>
      <c r="L15" s="273">
        <f t="shared" si="4"/>
        <v>2.75609756097561</v>
      </c>
      <c r="M15" s="273">
        <f t="shared" si="5"/>
        <v>19.22</v>
      </c>
    </row>
    <row r="16" spans="1:13" x14ac:dyDescent="0.2">
      <c r="A16" s="113" t="s">
        <v>280</v>
      </c>
      <c r="B16" s="282">
        <v>0.84</v>
      </c>
      <c r="C16" s="273">
        <v>0.67</v>
      </c>
      <c r="D16" s="273">
        <v>0.09</v>
      </c>
      <c r="E16" s="273">
        <f t="shared" si="1"/>
        <v>1.6</v>
      </c>
      <c r="F16" s="273">
        <v>0.62</v>
      </c>
      <c r="G16" s="273">
        <v>1.53</v>
      </c>
      <c r="H16" s="273">
        <v>0.23</v>
      </c>
      <c r="I16" s="273">
        <f t="shared" si="2"/>
        <v>2.38</v>
      </c>
      <c r="J16" s="273">
        <v>0.83</v>
      </c>
      <c r="K16" s="273">
        <f t="shared" si="3"/>
        <v>5.3205128205128203E-2</v>
      </c>
      <c r="L16" s="273">
        <f t="shared" si="4"/>
        <v>0.74634146341463425</v>
      </c>
      <c r="M16" s="273">
        <f t="shared" si="5"/>
        <v>4.8100000000000005</v>
      </c>
    </row>
    <row r="17" spans="1:18" x14ac:dyDescent="0.2">
      <c r="A17" s="113" t="s">
        <v>281</v>
      </c>
      <c r="B17" s="282">
        <v>0.77</v>
      </c>
      <c r="C17" s="273">
        <v>0.66</v>
      </c>
      <c r="D17" s="273">
        <v>0.1</v>
      </c>
      <c r="E17" s="273">
        <f t="shared" si="1"/>
        <v>1.5300000000000002</v>
      </c>
      <c r="F17" s="273">
        <v>0.47</v>
      </c>
      <c r="G17" s="273">
        <v>2.1800000000000002</v>
      </c>
      <c r="H17" s="273">
        <v>0.33</v>
      </c>
      <c r="I17" s="273">
        <f t="shared" si="2"/>
        <v>2.9800000000000004</v>
      </c>
      <c r="J17" s="273">
        <v>1.19</v>
      </c>
      <c r="K17" s="273">
        <f t="shared" si="3"/>
        <v>7.6282051282051275E-2</v>
      </c>
      <c r="L17" s="273">
        <f t="shared" si="4"/>
        <v>1.0634146341463417</v>
      </c>
      <c r="M17" s="273">
        <f t="shared" si="5"/>
        <v>5.7</v>
      </c>
    </row>
    <row r="18" spans="1:18" x14ac:dyDescent="0.2">
      <c r="A18" s="113" t="s">
        <v>283</v>
      </c>
      <c r="B18" s="282">
        <v>0.49</v>
      </c>
      <c r="C18" s="273">
        <v>0.42</v>
      </c>
      <c r="D18" s="273">
        <v>7.0000000000000007E-2</v>
      </c>
      <c r="E18" s="273">
        <f t="shared" si="1"/>
        <v>0.98</v>
      </c>
      <c r="F18" s="273">
        <v>0.28999999999999998</v>
      </c>
      <c r="G18" s="273">
        <v>1.54</v>
      </c>
      <c r="H18" s="273">
        <v>0.23</v>
      </c>
      <c r="I18" s="273">
        <f t="shared" si="2"/>
        <v>2.06</v>
      </c>
      <c r="J18" s="273">
        <v>0.84</v>
      </c>
      <c r="K18" s="273">
        <f t="shared" si="3"/>
        <v>5.3846153846153842E-2</v>
      </c>
      <c r="L18" s="273">
        <f t="shared" si="4"/>
        <v>0.75121951219512206</v>
      </c>
      <c r="M18" s="273">
        <f t="shared" si="5"/>
        <v>3.88</v>
      </c>
    </row>
    <row r="22" spans="1:18" ht="15.75" x14ac:dyDescent="0.25">
      <c r="A22" s="419" t="s">
        <v>234</v>
      </c>
      <c r="B22" s="420"/>
      <c r="C22" s="420"/>
      <c r="D22" s="420"/>
      <c r="E22" s="420"/>
      <c r="F22" s="420"/>
      <c r="G22" s="420"/>
      <c r="H22" s="420"/>
      <c r="I22" s="420"/>
      <c r="J22" s="420"/>
      <c r="K22" s="420"/>
      <c r="L22" s="420"/>
      <c r="M22" s="420"/>
    </row>
    <row r="23" spans="1:18" x14ac:dyDescent="0.2">
      <c r="A23" s="421" t="s">
        <v>235</v>
      </c>
      <c r="B23" s="422"/>
      <c r="C23" s="422"/>
      <c r="D23" s="422"/>
      <c r="E23" s="422"/>
      <c r="F23" s="422"/>
      <c r="G23" s="422"/>
      <c r="H23" s="422"/>
      <c r="I23" s="422"/>
      <c r="J23" s="422"/>
      <c r="K23" s="422"/>
      <c r="L23" s="422"/>
      <c r="M23" s="423"/>
    </row>
    <row r="24" spans="1:18" x14ac:dyDescent="0.2">
      <c r="A24" s="91"/>
      <c r="B24" s="424" t="s">
        <v>236</v>
      </c>
      <c r="C24" s="425"/>
      <c r="D24" s="426"/>
      <c r="E24" s="352"/>
      <c r="F24" s="427" t="s">
        <v>237</v>
      </c>
      <c r="G24" s="428"/>
      <c r="H24" s="428"/>
      <c r="I24" s="429"/>
      <c r="J24" s="430" t="s">
        <v>24</v>
      </c>
      <c r="K24" s="431"/>
      <c r="L24" s="353" t="s">
        <v>1</v>
      </c>
      <c r="M24" s="410" t="s">
        <v>72</v>
      </c>
      <c r="Q24">
        <v>1.054</v>
      </c>
      <c r="R24" t="s">
        <v>318</v>
      </c>
    </row>
    <row r="25" spans="1:18" x14ac:dyDescent="0.2">
      <c r="A25" s="92"/>
      <c r="B25" s="412" t="s">
        <v>282</v>
      </c>
      <c r="C25" s="414" t="s">
        <v>238</v>
      </c>
      <c r="D25" s="414" t="s">
        <v>220</v>
      </c>
      <c r="E25" s="414" t="s">
        <v>239</v>
      </c>
      <c r="F25" s="416" t="s">
        <v>69</v>
      </c>
      <c r="G25" s="416" t="s">
        <v>70</v>
      </c>
      <c r="H25" s="416" t="s">
        <v>240</v>
      </c>
      <c r="I25" s="416" t="s">
        <v>144</v>
      </c>
      <c r="J25" s="354"/>
      <c r="K25" s="354"/>
      <c r="L25" s="354"/>
      <c r="M25" s="411"/>
      <c r="Q25">
        <v>1.0620000000000001</v>
      </c>
      <c r="R25" t="s">
        <v>319</v>
      </c>
    </row>
    <row r="26" spans="1:18" x14ac:dyDescent="0.2">
      <c r="A26" s="94"/>
      <c r="B26" s="413"/>
      <c r="C26" s="415"/>
      <c r="D26" s="415"/>
      <c r="E26" s="415"/>
      <c r="F26" s="415"/>
      <c r="G26" s="415"/>
      <c r="H26" s="415"/>
      <c r="I26" s="415"/>
      <c r="J26" s="266" t="s">
        <v>148</v>
      </c>
      <c r="K26" s="266" t="s">
        <v>2</v>
      </c>
      <c r="L26" s="267" t="s">
        <v>3</v>
      </c>
      <c r="M26" s="268" t="s">
        <v>148</v>
      </c>
      <c r="Q26">
        <f>3.5/2.05</f>
        <v>1.7073170731707319</v>
      </c>
      <c r="R26" t="s">
        <v>320</v>
      </c>
    </row>
    <row r="27" spans="1:18" x14ac:dyDescent="0.2">
      <c r="A27" s="407" t="s">
        <v>241</v>
      </c>
      <c r="B27" s="408"/>
      <c r="C27" s="408"/>
      <c r="D27" s="408"/>
      <c r="E27" s="408"/>
      <c r="F27" s="408"/>
      <c r="G27" s="408"/>
      <c r="H27" s="408"/>
      <c r="I27" s="408"/>
      <c r="J27" s="408"/>
      <c r="K27" s="408"/>
      <c r="L27" s="408"/>
      <c r="M27" s="409"/>
      <c r="Q27">
        <f>16.25/15.6</f>
        <v>1.0416666666666667</v>
      </c>
      <c r="R27" t="s">
        <v>24</v>
      </c>
    </row>
    <row r="28" spans="1:18" x14ac:dyDescent="0.2">
      <c r="A28" s="269" t="s">
        <v>272</v>
      </c>
      <c r="B28" s="270">
        <f>B7*$Q$24</f>
        <v>1.4018200000000001</v>
      </c>
      <c r="C28" s="270">
        <f t="shared" ref="C28:D28" si="6">C7*$Q$24</f>
        <v>0.82212000000000007</v>
      </c>
      <c r="D28" s="270">
        <f t="shared" si="6"/>
        <v>0.74834000000000001</v>
      </c>
      <c r="E28" s="271">
        <f>SUM(B28:D28)</f>
        <v>2.9722800000000005</v>
      </c>
      <c r="F28" s="271">
        <f>F7*$Q$24</f>
        <v>0.79049999999999998</v>
      </c>
      <c r="G28" s="271">
        <f>G7*$Q$26</f>
        <v>2.0146341463414634</v>
      </c>
      <c r="H28" s="271">
        <f>H7*$Q$24</f>
        <v>0.18972</v>
      </c>
      <c r="I28" s="271">
        <f>SUM(F28:H28)</f>
        <v>2.9948541463414631</v>
      </c>
      <c r="J28" s="271">
        <f>J7*$Q$27</f>
        <v>3.572916666666667</v>
      </c>
      <c r="K28" s="272">
        <v>0.2198717948717949</v>
      </c>
      <c r="L28" s="272">
        <v>0.57560975609756104</v>
      </c>
      <c r="M28" s="271">
        <f>J28+I28+E28</f>
        <v>9.5400508130081292</v>
      </c>
    </row>
    <row r="29" spans="1:18" x14ac:dyDescent="0.2">
      <c r="A29" s="269" t="s">
        <v>273</v>
      </c>
      <c r="B29" s="270">
        <f>B8*$Q$24</f>
        <v>0.24242000000000002</v>
      </c>
      <c r="C29" s="270">
        <f t="shared" ref="C29:D29" si="7">C8*$Q$24</f>
        <v>0.15809999999999999</v>
      </c>
      <c r="D29" s="270">
        <f t="shared" si="7"/>
        <v>0.14756000000000002</v>
      </c>
      <c r="E29" s="271">
        <f>SUM(B29:D29)</f>
        <v>0.54808000000000001</v>
      </c>
      <c r="F29" s="271">
        <f>F8*$Q$24</f>
        <v>0.79049999999999998</v>
      </c>
      <c r="G29" s="271">
        <f>G8*$Q$26</f>
        <v>0.34146341463414642</v>
      </c>
      <c r="H29" s="271">
        <f>H8*$Q$24</f>
        <v>3.1620000000000002E-2</v>
      </c>
      <c r="I29" s="271">
        <f>SUM(F29:H29)</f>
        <v>1.1635834146341464</v>
      </c>
      <c r="J29" s="271">
        <f>J8*$Q$27</f>
        <v>1.1875</v>
      </c>
      <c r="K29" s="272">
        <v>7.3076923076923067E-2</v>
      </c>
      <c r="L29" s="272">
        <v>9.7560975609756115E-2</v>
      </c>
      <c r="M29" s="271">
        <f>J29+I29+E29</f>
        <v>2.8991634146341467</v>
      </c>
    </row>
    <row r="30" spans="1:18" x14ac:dyDescent="0.2">
      <c r="A30" s="269" t="s">
        <v>242</v>
      </c>
      <c r="B30" s="270">
        <f t="shared" ref="B30:M30" si="8">SUM(B28:B29)</f>
        <v>1.6442400000000001</v>
      </c>
      <c r="C30" s="270">
        <f t="shared" si="8"/>
        <v>0.98022000000000009</v>
      </c>
      <c r="D30" s="270">
        <f t="shared" si="8"/>
        <v>0.89590000000000003</v>
      </c>
      <c r="E30" s="270">
        <f t="shared" si="8"/>
        <v>3.5203600000000006</v>
      </c>
      <c r="F30" s="270">
        <f t="shared" si="8"/>
        <v>1.581</v>
      </c>
      <c r="G30" s="270">
        <f t="shared" si="8"/>
        <v>2.3560975609756101</v>
      </c>
      <c r="H30" s="270">
        <f t="shared" si="8"/>
        <v>0.22134000000000001</v>
      </c>
      <c r="I30" s="270">
        <f t="shared" si="8"/>
        <v>4.1584375609756092</v>
      </c>
      <c r="J30" s="270">
        <f t="shared" si="8"/>
        <v>4.760416666666667</v>
      </c>
      <c r="K30" s="270">
        <v>0.29294871794871796</v>
      </c>
      <c r="L30" s="270">
        <v>0.67317073170731712</v>
      </c>
      <c r="M30" s="270">
        <f t="shared" si="8"/>
        <v>12.439214227642276</v>
      </c>
    </row>
    <row r="31" spans="1:18" x14ac:dyDescent="0.2">
      <c r="A31" s="355" t="s">
        <v>243</v>
      </c>
      <c r="B31" s="113"/>
      <c r="C31" s="113"/>
      <c r="D31" s="113"/>
      <c r="E31" s="113"/>
      <c r="F31" s="113"/>
      <c r="G31" s="113"/>
      <c r="H31" s="113"/>
      <c r="I31" s="113"/>
      <c r="J31" s="113"/>
      <c r="K31" s="113"/>
      <c r="L31" s="113"/>
      <c r="M31" s="113"/>
    </row>
    <row r="32" spans="1:18" x14ac:dyDescent="0.2">
      <c r="A32" s="113" t="s">
        <v>275</v>
      </c>
      <c r="B32" s="273">
        <f>B11*$Q$25</f>
        <v>2.8886400000000005</v>
      </c>
      <c r="C32" s="273">
        <f t="shared" ref="C32:D32" si="9">C11*$Q$25</f>
        <v>2.1558600000000001</v>
      </c>
      <c r="D32" s="273">
        <f t="shared" si="9"/>
        <v>0.71154000000000006</v>
      </c>
      <c r="E32" s="273">
        <f t="shared" ref="E32:E39" si="10">SUM(B32:D32)</f>
        <v>5.7560400000000014</v>
      </c>
      <c r="F32" s="273">
        <f>F11*$Q$25</f>
        <v>1.7098200000000001</v>
      </c>
      <c r="G32" s="273">
        <f>G11*$Q$26</f>
        <v>1.1097560975609757</v>
      </c>
      <c r="H32" s="273">
        <f>H11*$Q$25</f>
        <v>0.10620000000000002</v>
      </c>
      <c r="I32" s="273">
        <f t="shared" ref="I32:I39" si="11">SUM(F32:H32)</f>
        <v>2.9257760975609757</v>
      </c>
      <c r="J32" s="273">
        <f>J11*$Q$27</f>
        <v>1.2291666666666667</v>
      </c>
      <c r="K32" s="273">
        <v>7.5641025641025636E-2</v>
      </c>
      <c r="L32" s="273">
        <v>0.31707317073170738</v>
      </c>
      <c r="M32" s="273">
        <f t="shared" ref="M32:M39" si="12">J32+I32+E32</f>
        <v>9.9109827642276436</v>
      </c>
    </row>
    <row r="33" spans="1:13" x14ac:dyDescent="0.2">
      <c r="A33" s="113" t="s">
        <v>276</v>
      </c>
      <c r="B33" s="273">
        <f t="shared" ref="B33:D39" si="13">B12*$Q$25</f>
        <v>5.5224000000000002</v>
      </c>
      <c r="C33" s="273">
        <f t="shared" si="13"/>
        <v>3.0054600000000002</v>
      </c>
      <c r="D33" s="273">
        <f t="shared" si="13"/>
        <v>0.80712000000000006</v>
      </c>
      <c r="E33" s="273">
        <f t="shared" si="10"/>
        <v>9.3349799999999998</v>
      </c>
      <c r="F33" s="273">
        <f t="shared" ref="F33:F39" si="14">F12*$Q$25</f>
        <v>2.8355399999999999</v>
      </c>
      <c r="G33" s="273">
        <f t="shared" ref="G33:G39" si="15">G12*$Q$26</f>
        <v>1.8439024390243905</v>
      </c>
      <c r="H33" s="273">
        <f t="shared" ref="H33:H39" si="16">H12*$Q$25</f>
        <v>0.16992000000000002</v>
      </c>
      <c r="I33" s="273">
        <f t="shared" si="11"/>
        <v>4.8493624390243903</v>
      </c>
      <c r="J33" s="273">
        <f t="shared" ref="J33:J39" si="17">J12*$Q$27</f>
        <v>2.0520833333333335</v>
      </c>
      <c r="K33" s="273">
        <v>0.12628205128205128</v>
      </c>
      <c r="L33" s="273">
        <v>0.52682926829268306</v>
      </c>
      <c r="M33" s="273">
        <f t="shared" si="12"/>
        <v>16.236425772357723</v>
      </c>
    </row>
    <row r="34" spans="1:13" x14ac:dyDescent="0.2">
      <c r="A34" s="113" t="s">
        <v>277</v>
      </c>
      <c r="B34" s="273">
        <f t="shared" si="13"/>
        <v>5.2887600000000008</v>
      </c>
      <c r="C34" s="273">
        <f t="shared" si="13"/>
        <v>3.2284800000000002</v>
      </c>
      <c r="D34" s="273">
        <f t="shared" si="13"/>
        <v>0.78588000000000002</v>
      </c>
      <c r="E34" s="273">
        <f t="shared" si="10"/>
        <v>9.3031200000000016</v>
      </c>
      <c r="F34" s="273">
        <f t="shared" si="14"/>
        <v>2.8886400000000005</v>
      </c>
      <c r="G34" s="273">
        <f t="shared" si="15"/>
        <v>2.765853658536586</v>
      </c>
      <c r="H34" s="273">
        <f t="shared" si="16"/>
        <v>0.25488</v>
      </c>
      <c r="I34" s="273">
        <f t="shared" si="11"/>
        <v>5.9093736585365866</v>
      </c>
      <c r="J34" s="273">
        <f t="shared" si="17"/>
        <v>3.072916666666667</v>
      </c>
      <c r="K34" s="273">
        <v>0.18910256410256412</v>
      </c>
      <c r="L34" s="273">
        <v>0.79024390243902454</v>
      </c>
      <c r="M34" s="273">
        <f t="shared" si="12"/>
        <v>18.285410325203255</v>
      </c>
    </row>
    <row r="35" spans="1:13" x14ac:dyDescent="0.2">
      <c r="A35" s="113" t="s">
        <v>278</v>
      </c>
      <c r="B35" s="273">
        <f t="shared" si="13"/>
        <v>1.7098200000000001</v>
      </c>
      <c r="C35" s="273">
        <f t="shared" si="13"/>
        <v>1.4018400000000002</v>
      </c>
      <c r="D35" s="273">
        <f t="shared" si="13"/>
        <v>0.16992000000000002</v>
      </c>
      <c r="E35" s="273">
        <f t="shared" si="10"/>
        <v>3.2815800000000004</v>
      </c>
      <c r="F35" s="273">
        <f t="shared" si="14"/>
        <v>0.61595999999999995</v>
      </c>
      <c r="G35" s="273">
        <f t="shared" si="15"/>
        <v>1.382926829268293</v>
      </c>
      <c r="H35" s="273">
        <f t="shared" si="16"/>
        <v>0.12744</v>
      </c>
      <c r="I35" s="273">
        <f t="shared" si="11"/>
        <v>2.1263268292682929</v>
      </c>
      <c r="J35" s="273">
        <f t="shared" si="17"/>
        <v>1.53125</v>
      </c>
      <c r="K35" s="273">
        <v>9.4230769230769229E-2</v>
      </c>
      <c r="L35" s="273">
        <v>0.39512195121951227</v>
      </c>
      <c r="M35" s="273">
        <f t="shared" si="12"/>
        <v>6.9391568292682937</v>
      </c>
    </row>
    <row r="36" spans="1:13" x14ac:dyDescent="0.2">
      <c r="A36" s="113" t="s">
        <v>279</v>
      </c>
      <c r="B36" s="273">
        <f t="shared" si="13"/>
        <v>3.7382400000000002</v>
      </c>
      <c r="C36" s="273">
        <f t="shared" si="13"/>
        <v>3.6957600000000004</v>
      </c>
      <c r="D36" s="273">
        <f t="shared" si="13"/>
        <v>0.41418000000000005</v>
      </c>
      <c r="E36" s="273">
        <f t="shared" si="10"/>
        <v>7.848180000000001</v>
      </c>
      <c r="F36" s="273">
        <f t="shared" si="14"/>
        <v>2.3895</v>
      </c>
      <c r="G36" s="273">
        <f t="shared" si="15"/>
        <v>9.6463414634146361</v>
      </c>
      <c r="H36" s="273">
        <f t="shared" si="16"/>
        <v>0.90270000000000006</v>
      </c>
      <c r="I36" s="273">
        <f t="shared" si="11"/>
        <v>12.938541463414635</v>
      </c>
      <c r="J36" s="273">
        <f t="shared" si="17"/>
        <v>3.2083333333333335</v>
      </c>
      <c r="K36" s="273">
        <v>0.19743589743589746</v>
      </c>
      <c r="L36" s="273">
        <v>2.75609756097561</v>
      </c>
      <c r="M36" s="273">
        <f t="shared" si="12"/>
        <v>23.995054796747972</v>
      </c>
    </row>
    <row r="37" spans="1:13" x14ac:dyDescent="0.2">
      <c r="A37" s="113" t="s">
        <v>280</v>
      </c>
      <c r="B37" s="273">
        <f t="shared" si="13"/>
        <v>0.89207999999999998</v>
      </c>
      <c r="C37" s="273">
        <f t="shared" si="13"/>
        <v>0.71154000000000006</v>
      </c>
      <c r="D37" s="273">
        <f t="shared" si="13"/>
        <v>9.5579999999999998E-2</v>
      </c>
      <c r="E37" s="273">
        <f t="shared" si="10"/>
        <v>1.6992</v>
      </c>
      <c r="F37" s="273">
        <f t="shared" si="14"/>
        <v>0.65844000000000003</v>
      </c>
      <c r="G37" s="273">
        <f t="shared" si="15"/>
        <v>2.6121951219512201</v>
      </c>
      <c r="H37" s="273">
        <f t="shared" si="16"/>
        <v>0.24426000000000003</v>
      </c>
      <c r="I37" s="273">
        <f t="shared" si="11"/>
        <v>3.5148951219512203</v>
      </c>
      <c r="J37" s="273">
        <f t="shared" si="17"/>
        <v>0.86458333333333337</v>
      </c>
      <c r="K37" s="273">
        <v>5.3205128205128203E-2</v>
      </c>
      <c r="L37" s="273">
        <v>0.74634146341463425</v>
      </c>
      <c r="M37" s="273">
        <f t="shared" si="12"/>
        <v>6.0786784552845541</v>
      </c>
    </row>
    <row r="38" spans="1:13" x14ac:dyDescent="0.2">
      <c r="A38" s="113" t="s">
        <v>281</v>
      </c>
      <c r="B38" s="273">
        <f t="shared" si="13"/>
        <v>0.81774000000000002</v>
      </c>
      <c r="C38" s="273">
        <f t="shared" si="13"/>
        <v>0.7009200000000001</v>
      </c>
      <c r="D38" s="273">
        <f t="shared" si="13"/>
        <v>0.10620000000000002</v>
      </c>
      <c r="E38" s="273">
        <f t="shared" si="10"/>
        <v>1.6248600000000002</v>
      </c>
      <c r="F38" s="273">
        <f t="shared" si="14"/>
        <v>0.49913999999999997</v>
      </c>
      <c r="G38" s="273">
        <f t="shared" si="15"/>
        <v>3.7219512195121958</v>
      </c>
      <c r="H38" s="273">
        <f t="shared" si="16"/>
        <v>0.35046000000000005</v>
      </c>
      <c r="I38" s="273">
        <f t="shared" si="11"/>
        <v>4.5715512195121955</v>
      </c>
      <c r="J38" s="273">
        <f t="shared" si="17"/>
        <v>1.2395833333333333</v>
      </c>
      <c r="K38" s="273">
        <v>7.6282051282051275E-2</v>
      </c>
      <c r="L38" s="273">
        <v>1.0634146341463417</v>
      </c>
      <c r="M38" s="273">
        <f t="shared" si="12"/>
        <v>7.4359945528455285</v>
      </c>
    </row>
    <row r="39" spans="1:13" x14ac:dyDescent="0.2">
      <c r="A39" s="113" t="s">
        <v>283</v>
      </c>
      <c r="B39" s="273">
        <f t="shared" si="13"/>
        <v>0.52038000000000006</v>
      </c>
      <c r="C39" s="273">
        <f t="shared" si="13"/>
        <v>0.44603999999999999</v>
      </c>
      <c r="D39" s="273">
        <f t="shared" si="13"/>
        <v>7.4340000000000017E-2</v>
      </c>
      <c r="E39" s="273">
        <f t="shared" si="10"/>
        <v>1.0407600000000001</v>
      </c>
      <c r="F39" s="273">
        <f t="shared" si="14"/>
        <v>0.30797999999999998</v>
      </c>
      <c r="G39" s="273">
        <f t="shared" si="15"/>
        <v>2.6292682926829274</v>
      </c>
      <c r="H39" s="273">
        <f t="shared" si="16"/>
        <v>0.24426000000000003</v>
      </c>
      <c r="I39" s="273">
        <f t="shared" si="11"/>
        <v>3.1815082926829277</v>
      </c>
      <c r="J39" s="273">
        <f t="shared" si="17"/>
        <v>0.875</v>
      </c>
      <c r="K39" s="273">
        <v>5.3846153846153842E-2</v>
      </c>
      <c r="L39" s="273">
        <v>0.75121951219512206</v>
      </c>
      <c r="M39" s="273">
        <f t="shared" si="12"/>
        <v>5.0972682926829282</v>
      </c>
    </row>
  </sheetData>
  <mergeCells count="30">
    <mergeCell ref="G25:G26"/>
    <mergeCell ref="H25:H26"/>
    <mergeCell ref="I25:I26"/>
    <mergeCell ref="A27:M27"/>
    <mergeCell ref="A23:M23"/>
    <mergeCell ref="B24:D24"/>
    <mergeCell ref="F24:I24"/>
    <mergeCell ref="J24:K24"/>
    <mergeCell ref="M24:M25"/>
    <mergeCell ref="B25:B26"/>
    <mergeCell ref="C25:C26"/>
    <mergeCell ref="D25:D26"/>
    <mergeCell ref="E25:E26"/>
    <mergeCell ref="F25:F26"/>
    <mergeCell ref="A22:M22"/>
    <mergeCell ref="A1:M1"/>
    <mergeCell ref="A2:M2"/>
    <mergeCell ref="B3:D3"/>
    <mergeCell ref="F3:I3"/>
    <mergeCell ref="J3:K3"/>
    <mergeCell ref="M3:M4"/>
    <mergeCell ref="B4:B5"/>
    <mergeCell ref="C4:C5"/>
    <mergeCell ref="D4:D5"/>
    <mergeCell ref="E4:E5"/>
    <mergeCell ref="F4:F5"/>
    <mergeCell ref="G4:G5"/>
    <mergeCell ref="H4:H5"/>
    <mergeCell ref="I4:I5"/>
    <mergeCell ref="A6:M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4"/>
  <sheetViews>
    <sheetView tabSelected="1" zoomScaleNormal="100" workbookViewId="0">
      <selection activeCell="L23" sqref="B2:L23"/>
    </sheetView>
  </sheetViews>
  <sheetFormatPr defaultColWidth="8.7109375" defaultRowHeight="12.75" x14ac:dyDescent="0.2"/>
  <cols>
    <col min="1" max="1" width="4.42578125" style="49" customWidth="1"/>
    <col min="2" max="2" width="19.42578125" style="49" customWidth="1"/>
    <col min="3" max="3" width="13.140625" style="84" bestFit="1" customWidth="1"/>
    <col min="4" max="4" width="11.28515625" style="85" customWidth="1"/>
    <col min="5" max="5" width="9.42578125" style="85" customWidth="1"/>
    <col min="6" max="6" width="10.140625" style="68" customWidth="1"/>
    <col min="7" max="7" width="8.7109375" style="49" customWidth="1"/>
    <col min="8" max="8" width="11.140625" style="49" customWidth="1"/>
    <col min="9" max="9" width="8.7109375" style="49" customWidth="1"/>
    <col min="10" max="10" width="9.42578125" style="49" customWidth="1"/>
    <col min="11" max="16384" width="8.7109375" style="49"/>
  </cols>
  <sheetData>
    <row r="2" spans="2:12" ht="18.75" customHeight="1" x14ac:dyDescent="0.2">
      <c r="B2" s="445" t="s">
        <v>340</v>
      </c>
      <c r="C2" s="446"/>
      <c r="D2" s="446"/>
      <c r="E2" s="446"/>
      <c r="F2" s="446"/>
      <c r="G2" s="446"/>
      <c r="H2" s="446"/>
      <c r="I2" s="446"/>
      <c r="J2" s="446"/>
      <c r="K2" s="446"/>
      <c r="L2" s="446"/>
    </row>
    <row r="3" spans="2:12" s="83" customFormat="1" x14ac:dyDescent="0.2">
      <c r="B3" s="91"/>
      <c r="C3" s="95"/>
      <c r="D3" s="99"/>
      <c r="E3" s="99"/>
      <c r="F3" s="99"/>
      <c r="G3" s="91"/>
      <c r="H3" s="103" t="s">
        <v>9</v>
      </c>
      <c r="I3" s="91"/>
      <c r="J3" s="104" t="s">
        <v>10</v>
      </c>
      <c r="K3" s="91"/>
      <c r="L3" s="87"/>
    </row>
    <row r="4" spans="2:12" s="83" customFormat="1" x14ac:dyDescent="0.2">
      <c r="B4" s="92"/>
      <c r="C4" s="96"/>
      <c r="D4" s="100"/>
      <c r="E4" s="100"/>
      <c r="F4" s="93" t="s">
        <v>11</v>
      </c>
      <c r="G4" s="92"/>
      <c r="H4" s="93" t="s">
        <v>12</v>
      </c>
      <c r="I4" s="93" t="s">
        <v>13</v>
      </c>
      <c r="J4" s="93" t="s">
        <v>14</v>
      </c>
      <c r="K4" s="92"/>
      <c r="L4" s="88"/>
    </row>
    <row r="5" spans="2:12" s="83" customFormat="1" x14ac:dyDescent="0.2">
      <c r="B5" s="93" t="s">
        <v>15</v>
      </c>
      <c r="C5" s="97" t="s">
        <v>16</v>
      </c>
      <c r="D5" s="93" t="s">
        <v>17</v>
      </c>
      <c r="E5" s="93" t="s">
        <v>18</v>
      </c>
      <c r="F5" s="93" t="s">
        <v>19</v>
      </c>
      <c r="G5" s="93" t="s">
        <v>20</v>
      </c>
      <c r="H5" s="93" t="s">
        <v>21</v>
      </c>
      <c r="I5" s="93" t="s">
        <v>22</v>
      </c>
      <c r="J5" s="93" t="s">
        <v>23</v>
      </c>
      <c r="K5" s="93" t="s">
        <v>24</v>
      </c>
      <c r="L5" s="89" t="s">
        <v>25</v>
      </c>
    </row>
    <row r="6" spans="2:12" s="83" customFormat="1" x14ac:dyDescent="0.2">
      <c r="B6" s="93" t="s">
        <v>26</v>
      </c>
      <c r="C6" s="97" t="s">
        <v>42</v>
      </c>
      <c r="D6" s="93" t="s">
        <v>43</v>
      </c>
      <c r="E6" s="93" t="s">
        <v>44</v>
      </c>
      <c r="F6" s="93" t="s">
        <v>45</v>
      </c>
      <c r="G6" s="93" t="s">
        <v>42</v>
      </c>
      <c r="H6" s="93" t="s">
        <v>46</v>
      </c>
      <c r="I6" s="93" t="s">
        <v>47</v>
      </c>
      <c r="J6" s="93" t="s">
        <v>48</v>
      </c>
      <c r="K6" s="93" t="s">
        <v>49</v>
      </c>
      <c r="L6" s="89" t="s">
        <v>50</v>
      </c>
    </row>
    <row r="7" spans="2:12" s="83" customFormat="1" x14ac:dyDescent="0.2">
      <c r="B7" s="94"/>
      <c r="C7" s="98" t="s">
        <v>51</v>
      </c>
      <c r="D7" s="101"/>
      <c r="E7" s="101"/>
      <c r="F7" s="101"/>
      <c r="G7" s="102" t="s">
        <v>51</v>
      </c>
      <c r="H7" s="102" t="s">
        <v>51</v>
      </c>
      <c r="I7" s="94"/>
      <c r="J7" s="102" t="s">
        <v>52</v>
      </c>
      <c r="K7" s="94"/>
      <c r="L7" s="90"/>
    </row>
    <row r="8" spans="2:12" x14ac:dyDescent="0.2">
      <c r="B8" s="443" t="s">
        <v>274</v>
      </c>
      <c r="C8" s="444"/>
      <c r="D8" s="444"/>
      <c r="E8" s="444"/>
      <c r="F8" s="444"/>
      <c r="G8" s="444"/>
      <c r="H8" s="444"/>
      <c r="I8" s="444"/>
      <c r="J8" s="444"/>
      <c r="K8" s="444"/>
      <c r="L8" s="444"/>
    </row>
    <row r="9" spans="2:12" x14ac:dyDescent="0.2">
      <c r="B9" s="191" t="s">
        <v>261</v>
      </c>
      <c r="C9" s="290">
        <v>95000</v>
      </c>
      <c r="D9" s="107">
        <v>5</v>
      </c>
      <c r="E9" s="107">
        <v>15</v>
      </c>
      <c r="F9" s="107">
        <v>500</v>
      </c>
      <c r="G9" s="291">
        <v>20000</v>
      </c>
      <c r="H9" s="291">
        <v>3000</v>
      </c>
      <c r="I9" s="292">
        <v>15</v>
      </c>
      <c r="J9" s="292">
        <v>1.2</v>
      </c>
      <c r="K9" s="292">
        <v>1.1000000000000001</v>
      </c>
      <c r="L9" s="292"/>
    </row>
    <row r="10" spans="2:12" x14ac:dyDescent="0.2">
      <c r="B10" s="191" t="s">
        <v>271</v>
      </c>
      <c r="C10" s="290">
        <v>60000</v>
      </c>
      <c r="D10" s="107">
        <v>0</v>
      </c>
      <c r="E10" s="107">
        <v>20</v>
      </c>
      <c r="F10" s="107">
        <v>300</v>
      </c>
      <c r="G10" s="291">
        <v>7700</v>
      </c>
      <c r="H10" s="291">
        <v>1000</v>
      </c>
      <c r="I10" s="292">
        <v>4.5999999999999996</v>
      </c>
      <c r="J10" s="292">
        <v>1.1000000000000001</v>
      </c>
      <c r="K10" s="292">
        <v>1.1000000000000001</v>
      </c>
      <c r="L10" s="292"/>
    </row>
    <row r="11" spans="2:12" x14ac:dyDescent="0.2">
      <c r="B11" s="443" t="s">
        <v>269</v>
      </c>
      <c r="C11" s="444"/>
      <c r="D11" s="444"/>
      <c r="E11" s="444"/>
      <c r="F11" s="444"/>
      <c r="G11" s="444"/>
      <c r="H11" s="444"/>
      <c r="I11" s="444"/>
      <c r="J11" s="444"/>
      <c r="K11" s="444"/>
      <c r="L11" s="444"/>
    </row>
    <row r="12" spans="2:12" x14ac:dyDescent="0.2">
      <c r="B12" s="113" t="s">
        <v>53</v>
      </c>
      <c r="C12" s="111">
        <v>22000</v>
      </c>
      <c r="D12" s="107">
        <v>0</v>
      </c>
      <c r="E12" s="107">
        <v>20</v>
      </c>
      <c r="F12" s="112">
        <v>80</v>
      </c>
      <c r="G12" s="291">
        <v>4000</v>
      </c>
      <c r="H12" s="291">
        <v>600</v>
      </c>
      <c r="I12" s="253">
        <v>15</v>
      </c>
      <c r="J12" s="113">
        <v>0.6</v>
      </c>
      <c r="K12" s="113">
        <v>1.1000000000000001</v>
      </c>
      <c r="L12" s="275">
        <v>5.56</v>
      </c>
    </row>
    <row r="13" spans="2:12" x14ac:dyDescent="0.2">
      <c r="B13" s="191" t="s">
        <v>263</v>
      </c>
      <c r="C13" s="106">
        <v>15500</v>
      </c>
      <c r="D13" s="107">
        <v>5</v>
      </c>
      <c r="E13" s="107">
        <v>15</v>
      </c>
      <c r="F13" s="108">
        <v>125</v>
      </c>
      <c r="G13" s="109">
        <v>2000</v>
      </c>
      <c r="H13" s="109">
        <v>850</v>
      </c>
      <c r="I13" s="110">
        <v>15</v>
      </c>
      <c r="J13" s="110">
        <v>0.6</v>
      </c>
      <c r="K13" s="110">
        <v>1.1000000000000001</v>
      </c>
      <c r="L13" s="276">
        <v>20.61</v>
      </c>
    </row>
    <row r="14" spans="2:12" x14ac:dyDescent="0.2">
      <c r="B14" s="191" t="s">
        <v>264</v>
      </c>
      <c r="C14" s="106">
        <v>1000</v>
      </c>
      <c r="D14" s="107">
        <v>0</v>
      </c>
      <c r="E14" s="107">
        <v>15</v>
      </c>
      <c r="F14" s="108">
        <v>50</v>
      </c>
      <c r="G14" s="109">
        <v>100</v>
      </c>
      <c r="H14" s="109">
        <v>35</v>
      </c>
      <c r="I14" s="110">
        <v>15</v>
      </c>
      <c r="J14" s="110">
        <v>0.6</v>
      </c>
      <c r="K14" s="110">
        <v>1.1000000000000001</v>
      </c>
      <c r="L14" s="276">
        <v>14.42</v>
      </c>
    </row>
    <row r="15" spans="2:12" x14ac:dyDescent="0.2">
      <c r="B15" s="443" t="s">
        <v>270</v>
      </c>
      <c r="C15" s="444"/>
      <c r="D15" s="444"/>
      <c r="E15" s="444"/>
      <c r="F15" s="444"/>
      <c r="G15" s="444"/>
      <c r="H15" s="444"/>
      <c r="I15" s="444"/>
      <c r="J15" s="444"/>
      <c r="K15" s="444"/>
      <c r="L15" s="444"/>
    </row>
    <row r="16" spans="2:12" x14ac:dyDescent="0.2">
      <c r="B16" s="191" t="s">
        <v>265</v>
      </c>
      <c r="C16" s="106">
        <v>51150</v>
      </c>
      <c r="D16" s="107">
        <v>0</v>
      </c>
      <c r="E16" s="107">
        <v>15</v>
      </c>
      <c r="F16" s="108">
        <v>100</v>
      </c>
      <c r="G16" s="109">
        <v>5000</v>
      </c>
      <c r="H16" s="109">
        <v>2000</v>
      </c>
      <c r="I16" s="110">
        <v>4.5999999999999996</v>
      </c>
      <c r="J16" s="110">
        <v>3</v>
      </c>
      <c r="K16" s="110">
        <v>1.2</v>
      </c>
      <c r="L16" s="276">
        <v>15.27</v>
      </c>
    </row>
    <row r="17" spans="2:12" x14ac:dyDescent="0.2">
      <c r="B17" s="281" t="s">
        <v>252</v>
      </c>
      <c r="C17" s="106">
        <v>30000</v>
      </c>
      <c r="D17" s="107">
        <v>5</v>
      </c>
      <c r="E17" s="107">
        <v>10</v>
      </c>
      <c r="F17" s="108">
        <v>75</v>
      </c>
      <c r="G17" s="109">
        <v>2500</v>
      </c>
      <c r="H17" s="109">
        <v>1500</v>
      </c>
      <c r="I17" s="110">
        <v>4.5999999999999996</v>
      </c>
      <c r="J17" s="110">
        <v>2.5</v>
      </c>
      <c r="K17" s="110">
        <v>1.2</v>
      </c>
      <c r="L17" s="276">
        <v>4.3600000000000003</v>
      </c>
    </row>
    <row r="18" spans="2:12" x14ac:dyDescent="0.2">
      <c r="B18" s="281" t="s">
        <v>253</v>
      </c>
      <c r="C18" s="106">
        <v>18000</v>
      </c>
      <c r="D18" s="107">
        <v>5</v>
      </c>
      <c r="E18" s="107">
        <v>10</v>
      </c>
      <c r="F18" s="108">
        <v>80</v>
      </c>
      <c r="G18" s="109">
        <v>1800</v>
      </c>
      <c r="H18" s="109">
        <v>1000</v>
      </c>
      <c r="I18" s="110">
        <v>4.5999999999999996</v>
      </c>
      <c r="J18" s="110">
        <v>2.5</v>
      </c>
      <c r="K18" s="110">
        <v>1.2</v>
      </c>
      <c r="L18" s="276">
        <v>5.82</v>
      </c>
    </row>
    <row r="19" spans="2:12" x14ac:dyDescent="0.2">
      <c r="B19" s="281" t="s">
        <v>257</v>
      </c>
      <c r="C19" s="106">
        <v>5000</v>
      </c>
      <c r="D19" s="107">
        <v>5</v>
      </c>
      <c r="E19" s="107">
        <v>15</v>
      </c>
      <c r="F19" s="108">
        <v>60</v>
      </c>
      <c r="G19" s="109">
        <v>500</v>
      </c>
      <c r="H19" s="109">
        <v>100</v>
      </c>
      <c r="I19" s="110">
        <v>4.5999999999999996</v>
      </c>
      <c r="J19" s="110">
        <v>0.6</v>
      </c>
      <c r="K19" s="110">
        <v>1.1000000000000001</v>
      </c>
      <c r="L19" s="276">
        <v>11.64</v>
      </c>
    </row>
    <row r="20" spans="2:12" x14ac:dyDescent="0.2">
      <c r="B20" s="114" t="s">
        <v>54</v>
      </c>
      <c r="C20" s="115"/>
      <c r="D20" s="116"/>
      <c r="E20" s="116"/>
      <c r="F20" s="117" t="s">
        <v>55</v>
      </c>
      <c r="G20" s="118"/>
      <c r="H20" s="118"/>
      <c r="I20" s="118" t="s">
        <v>56</v>
      </c>
      <c r="J20" s="118"/>
      <c r="K20" s="118"/>
      <c r="L20" s="119"/>
    </row>
    <row r="21" spans="2:12" x14ac:dyDescent="0.2">
      <c r="B21" s="105" t="s">
        <v>57</v>
      </c>
      <c r="C21" s="106">
        <v>34000</v>
      </c>
      <c r="D21" s="107">
        <v>5</v>
      </c>
      <c r="E21" s="107">
        <v>10</v>
      </c>
      <c r="F21" s="106">
        <v>12000</v>
      </c>
      <c r="G21" s="109">
        <v>8000</v>
      </c>
      <c r="H21" s="109">
        <v>600</v>
      </c>
      <c r="I21" s="110">
        <v>12</v>
      </c>
      <c r="J21" s="110">
        <v>6.8</v>
      </c>
      <c r="K21" s="110">
        <v>1.1000000000000001</v>
      </c>
      <c r="L21" s="110"/>
    </row>
    <row r="22" spans="2:12" x14ac:dyDescent="0.2">
      <c r="B22" s="105" t="s">
        <v>57</v>
      </c>
      <c r="C22" s="106">
        <v>7500</v>
      </c>
      <c r="D22" s="107">
        <v>15</v>
      </c>
      <c r="E22" s="107">
        <v>15</v>
      </c>
      <c r="F22" s="106">
        <v>2000</v>
      </c>
      <c r="G22" s="109">
        <v>450</v>
      </c>
      <c r="H22" s="109">
        <v>1500</v>
      </c>
      <c r="I22" s="110">
        <v>12</v>
      </c>
      <c r="J22" s="110">
        <v>6.8</v>
      </c>
      <c r="K22" s="110">
        <v>1.1000000000000001</v>
      </c>
      <c r="L22" s="110"/>
    </row>
    <row r="23" spans="2:12" x14ac:dyDescent="0.2">
      <c r="B23" s="148" t="s">
        <v>262</v>
      </c>
    </row>
    <row r="24" spans="2:12" x14ac:dyDescent="0.2">
      <c r="B24" s="86"/>
    </row>
  </sheetData>
  <mergeCells count="4">
    <mergeCell ref="B8:L8"/>
    <mergeCell ref="B11:L11"/>
    <mergeCell ref="B2:L2"/>
    <mergeCell ref="B15:L15"/>
  </mergeCells>
  <phoneticPr fontId="5" type="noConversion"/>
  <printOptions horizontalCentered="1"/>
  <pageMargins left="0.75" right="0.75" top="1" bottom="1" header="0" footer="0.5"/>
  <pageSetup orientation="landscape" r:id="rId1"/>
  <headerFooter alignWithMargins="0">
    <oddFooter>&amp;L&amp;A&amp;C                           &amp;F&amp;R&amp;D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0"/>
  <sheetViews>
    <sheetView zoomScale="90" zoomScaleNormal="90" workbookViewId="0">
      <selection activeCell="L20" sqref="B8:L20"/>
    </sheetView>
  </sheetViews>
  <sheetFormatPr defaultColWidth="9.140625" defaultRowHeight="12.75" x14ac:dyDescent="0.2"/>
  <cols>
    <col min="1" max="1" width="2.85546875" style="159" customWidth="1"/>
    <col min="2" max="2" width="29.5703125" style="159" customWidth="1"/>
    <col min="3" max="3" width="8.42578125" style="159" customWidth="1"/>
    <col min="4" max="4" width="10.28515625" style="159" customWidth="1"/>
    <col min="5" max="5" width="14" style="159" customWidth="1"/>
    <col min="6" max="6" width="11" style="159" customWidth="1"/>
    <col min="7" max="7" width="15.28515625" style="159" customWidth="1"/>
    <col min="8" max="8" width="13.42578125" style="159" customWidth="1"/>
    <col min="9" max="9" width="16.42578125" style="159" customWidth="1"/>
    <col min="10" max="10" width="11.140625" style="159" bestFit="1" customWidth="1"/>
    <col min="11" max="11" width="17.28515625" style="159" customWidth="1"/>
    <col min="12" max="12" width="10.28515625" style="159" customWidth="1"/>
    <col min="13" max="16384" width="9.140625" style="159"/>
  </cols>
  <sheetData>
    <row r="2" spans="1:14" ht="15.75" x14ac:dyDescent="0.25">
      <c r="A2" s="76"/>
      <c r="B2" s="389" t="s">
        <v>302</v>
      </c>
      <c r="C2" s="390"/>
      <c r="D2" s="390"/>
      <c r="E2" s="390"/>
      <c r="F2" s="390"/>
      <c r="G2" s="390"/>
      <c r="H2" s="390"/>
      <c r="I2" s="390"/>
      <c r="J2" s="318"/>
      <c r="K2" s="76"/>
      <c r="L2" s="76"/>
      <c r="M2" s="319"/>
      <c r="N2" s="319"/>
    </row>
    <row r="3" spans="1:14" ht="15.75" x14ac:dyDescent="0.25">
      <c r="A3" s="76"/>
      <c r="B3" s="391" t="s">
        <v>290</v>
      </c>
      <c r="C3" s="391"/>
      <c r="D3" s="391"/>
      <c r="E3" s="391"/>
      <c r="F3" s="391"/>
      <c r="G3" s="391"/>
      <c r="H3" s="391"/>
      <c r="I3" s="391"/>
      <c r="J3" s="318"/>
      <c r="K3" s="76"/>
      <c r="L3" s="76"/>
      <c r="M3" s="319"/>
      <c r="N3" s="319"/>
    </row>
    <row r="4" spans="1:14" ht="15.75" x14ac:dyDescent="0.25">
      <c r="A4" s="76"/>
      <c r="B4" s="392" t="s">
        <v>303</v>
      </c>
      <c r="C4" s="393"/>
      <c r="D4" s="393"/>
      <c r="E4" s="393"/>
      <c r="F4" s="393"/>
      <c r="G4" s="393"/>
      <c r="H4" s="393"/>
      <c r="I4" s="393"/>
      <c r="J4" s="318"/>
      <c r="K4" s="76"/>
      <c r="L4" s="76"/>
      <c r="M4" s="319"/>
      <c r="N4" s="319"/>
    </row>
    <row r="5" spans="1:14" ht="15.75" x14ac:dyDescent="0.25">
      <c r="A5" s="76"/>
      <c r="B5" s="394" t="s">
        <v>304</v>
      </c>
      <c r="C5" s="394"/>
      <c r="D5" s="394"/>
      <c r="E5" s="394"/>
      <c r="F5" s="394"/>
      <c r="G5" s="394"/>
      <c r="H5" s="394"/>
      <c r="I5" s="394"/>
      <c r="J5" s="318"/>
      <c r="K5" s="76"/>
      <c r="L5" s="76"/>
      <c r="M5" s="319"/>
      <c r="N5" s="319"/>
    </row>
    <row r="6" spans="1:14" ht="15.75" x14ac:dyDescent="0.25">
      <c r="A6" s="76"/>
      <c r="B6" s="385" t="s">
        <v>305</v>
      </c>
      <c r="C6" s="386"/>
      <c r="D6" s="386"/>
      <c r="E6" s="386"/>
      <c r="F6" s="386"/>
      <c r="G6" s="386"/>
      <c r="H6" s="386"/>
      <c r="I6" s="386"/>
      <c r="J6" s="318"/>
      <c r="K6" s="76"/>
      <c r="L6" s="76"/>
      <c r="M6" s="319"/>
      <c r="N6" s="319"/>
    </row>
    <row r="7" spans="1:14" ht="15" x14ac:dyDescent="0.2">
      <c r="A7" s="76"/>
      <c r="B7" s="76"/>
      <c r="C7" s="76"/>
      <c r="D7" s="76"/>
      <c r="E7" s="318"/>
      <c r="F7" s="76"/>
      <c r="G7" s="76"/>
      <c r="H7" s="76"/>
      <c r="I7" s="76"/>
      <c r="J7" s="318"/>
      <c r="K7" s="76"/>
      <c r="L7" s="76"/>
      <c r="M7" s="319"/>
      <c r="N7" s="319"/>
    </row>
    <row r="8" spans="1:14" ht="18" x14ac:dyDescent="0.2">
      <c r="A8" s="320"/>
      <c r="B8" s="387" t="s">
        <v>306</v>
      </c>
      <c r="C8" s="388"/>
      <c r="D8" s="388"/>
      <c r="E8" s="388"/>
      <c r="F8" s="388"/>
      <c r="G8" s="388"/>
      <c r="H8" s="388"/>
      <c r="I8" s="388"/>
      <c r="J8" s="388"/>
      <c r="K8" s="388"/>
      <c r="L8" s="388"/>
      <c r="M8" s="321"/>
      <c r="N8" s="321"/>
    </row>
    <row r="9" spans="1:14" ht="15.75" x14ac:dyDescent="0.25">
      <c r="A9" s="320"/>
      <c r="B9" s="322"/>
      <c r="C9" s="323"/>
      <c r="D9" s="323"/>
      <c r="E9" s="324"/>
      <c r="F9" s="323"/>
      <c r="G9" s="323"/>
      <c r="H9" s="323"/>
      <c r="I9" s="323"/>
      <c r="J9" s="323"/>
      <c r="K9" s="323"/>
      <c r="L9" s="323"/>
      <c r="M9" s="321"/>
      <c r="N9" s="321"/>
    </row>
    <row r="10" spans="1:14" ht="15.75" x14ac:dyDescent="0.25">
      <c r="A10" s="76"/>
      <c r="B10" s="325"/>
      <c r="C10" s="324"/>
      <c r="D10" s="326"/>
      <c r="E10" s="327"/>
      <c r="F10" s="326"/>
      <c r="G10" s="328"/>
      <c r="H10" s="329"/>
      <c r="I10" s="328"/>
      <c r="J10" s="330"/>
      <c r="K10" s="328"/>
      <c r="L10" s="328"/>
      <c r="M10" s="319"/>
      <c r="N10" s="319"/>
    </row>
    <row r="11" spans="1:14" ht="15.75" x14ac:dyDescent="0.25">
      <c r="A11" s="76"/>
      <c r="B11" s="331"/>
      <c r="C11" s="324"/>
      <c r="D11" s="326"/>
      <c r="E11" s="327"/>
      <c r="F11" s="326"/>
      <c r="G11" s="328"/>
      <c r="H11" s="329"/>
      <c r="I11" s="332" t="s">
        <v>144</v>
      </c>
      <c r="J11" s="330"/>
      <c r="K11" s="332" t="s">
        <v>307</v>
      </c>
      <c r="L11" s="332" t="s">
        <v>52</v>
      </c>
      <c r="M11" s="319"/>
      <c r="N11" s="319"/>
    </row>
    <row r="12" spans="1:14" ht="15.75" x14ac:dyDescent="0.25">
      <c r="A12" s="76"/>
      <c r="B12" s="333"/>
      <c r="C12" s="332"/>
      <c r="D12" s="326"/>
      <c r="E12" s="327"/>
      <c r="F12" s="326"/>
      <c r="G12" s="332" t="s">
        <v>144</v>
      </c>
      <c r="H12" s="334" t="s">
        <v>145</v>
      </c>
      <c r="I12" s="332" t="s">
        <v>292</v>
      </c>
      <c r="J12" s="335" t="s">
        <v>293</v>
      </c>
      <c r="K12" s="332" t="s">
        <v>308</v>
      </c>
      <c r="L12" s="332" t="s">
        <v>309</v>
      </c>
      <c r="M12" s="319"/>
      <c r="N12" s="319"/>
    </row>
    <row r="13" spans="1:14" ht="15.75" x14ac:dyDescent="0.25">
      <c r="A13" s="76"/>
      <c r="B13" s="336"/>
      <c r="C13" s="337"/>
      <c r="D13" s="338" t="s">
        <v>294</v>
      </c>
      <c r="E13" s="339" t="s">
        <v>295</v>
      </c>
      <c r="F13" s="338" t="s">
        <v>296</v>
      </c>
      <c r="G13" s="337" t="s">
        <v>297</v>
      </c>
      <c r="H13" s="340" t="s">
        <v>146</v>
      </c>
      <c r="I13" s="337" t="s">
        <v>298</v>
      </c>
      <c r="J13" s="341" t="s">
        <v>299</v>
      </c>
      <c r="K13" s="337" t="s">
        <v>310</v>
      </c>
      <c r="L13" s="319" t="s">
        <v>337</v>
      </c>
      <c r="M13" s="319" t="s">
        <v>337</v>
      </c>
      <c r="N13" s="319"/>
    </row>
    <row r="14" spans="1:14" ht="15.75" x14ac:dyDescent="0.25">
      <c r="A14" s="76"/>
      <c r="B14" s="342" t="s">
        <v>147</v>
      </c>
      <c r="C14" s="343" t="s">
        <v>101</v>
      </c>
      <c r="D14" s="344" t="s">
        <v>300</v>
      </c>
      <c r="E14" s="344" t="s">
        <v>301</v>
      </c>
      <c r="F14" s="344" t="s">
        <v>300</v>
      </c>
      <c r="G14" s="343" t="s">
        <v>177</v>
      </c>
      <c r="H14" s="345" t="s">
        <v>148</v>
      </c>
      <c r="I14" s="345" t="s">
        <v>148</v>
      </c>
      <c r="J14" s="345" t="s">
        <v>148</v>
      </c>
      <c r="K14" s="345" t="s">
        <v>148</v>
      </c>
      <c r="L14" s="319" t="s">
        <v>338</v>
      </c>
      <c r="M14" s="319" t="s">
        <v>338</v>
      </c>
      <c r="N14" s="319"/>
    </row>
    <row r="15" spans="1:14" s="319" customFormat="1" ht="15.75" x14ac:dyDescent="0.25">
      <c r="B15" s="369" t="s">
        <v>361</v>
      </c>
      <c r="C15" s="347" t="s">
        <v>153</v>
      </c>
      <c r="D15" s="376">
        <v>1.25</v>
      </c>
      <c r="E15" s="376">
        <v>93</v>
      </c>
      <c r="F15" s="375">
        <f>+D15*E15</f>
        <v>116.25</v>
      </c>
      <c r="G15" s="375">
        <f>'NI-AHE-15'!J73</f>
        <v>322.77896317690761</v>
      </c>
      <c r="H15" s="375">
        <f>F15-G15</f>
        <v>-206.52896317690761</v>
      </c>
      <c r="I15" s="375">
        <f>+'NI-AHE-15'!J52</f>
        <v>283.0845379079895</v>
      </c>
      <c r="J15" s="375">
        <f>+F15-I15</f>
        <v>-166.8345379079895</v>
      </c>
      <c r="K15" s="375">
        <v>0</v>
      </c>
      <c r="L15" s="375" t="s">
        <v>311</v>
      </c>
    </row>
    <row r="16" spans="1:14" s="319" customFormat="1" ht="15.75" x14ac:dyDescent="0.25">
      <c r="B16" s="369" t="s">
        <v>339</v>
      </c>
      <c r="C16" s="347" t="s">
        <v>153</v>
      </c>
      <c r="D16" s="376">
        <v>2.5</v>
      </c>
      <c r="E16" s="376">
        <v>175</v>
      </c>
      <c r="F16" s="375">
        <f>+D16*E16</f>
        <v>437.5</v>
      </c>
      <c r="G16" s="375">
        <f>+'NI-AH-15'!J73</f>
        <v>426.77352303326893</v>
      </c>
      <c r="H16" s="375">
        <f>F16-G16</f>
        <v>10.72647696673107</v>
      </c>
      <c r="I16" s="375">
        <f>+'NI-AH-15'!J51</f>
        <v>164.21389765003912</v>
      </c>
      <c r="J16" s="375">
        <f>+F16-I16</f>
        <v>273.28610234996086</v>
      </c>
      <c r="K16" s="375">
        <f>'NI-AH-15'!J59</f>
        <v>122.4106125</v>
      </c>
      <c r="L16" s="375" t="s">
        <v>311</v>
      </c>
    </row>
    <row r="17" spans="2:12" s="319" customFormat="1" ht="15.75" x14ac:dyDescent="0.25">
      <c r="B17" s="346"/>
      <c r="C17" s="347"/>
      <c r="D17" s="377"/>
      <c r="E17" s="377"/>
      <c r="F17" s="375"/>
      <c r="G17" s="375"/>
      <c r="H17" s="375"/>
      <c r="I17" s="375"/>
      <c r="J17" s="375"/>
      <c r="K17" s="375"/>
      <c r="L17" s="375"/>
    </row>
    <row r="18" spans="2:12" s="319" customFormat="1" ht="15.75" x14ac:dyDescent="0.25">
      <c r="B18" s="358" t="s">
        <v>325</v>
      </c>
      <c r="C18" s="378">
        <v>4</v>
      </c>
      <c r="D18" s="370"/>
      <c r="E18" s="370"/>
      <c r="F18" s="370"/>
      <c r="G18" s="371"/>
      <c r="H18" s="371"/>
      <c r="I18" s="371"/>
      <c r="J18" s="371"/>
      <c r="K18" s="371"/>
      <c r="L18" s="370"/>
    </row>
    <row r="19" spans="2:12" x14ac:dyDescent="0.2">
      <c r="B19" s="160" t="s">
        <v>366</v>
      </c>
    </row>
    <row r="20" spans="2:12" x14ac:dyDescent="0.2">
      <c r="B20" s="160" t="s">
        <v>367</v>
      </c>
    </row>
  </sheetData>
  <mergeCells count="6">
    <mergeCell ref="B6:I6"/>
    <mergeCell ref="B8:L8"/>
    <mergeCell ref="B2:I2"/>
    <mergeCell ref="B3:I3"/>
    <mergeCell ref="B4:I4"/>
    <mergeCell ref="B5:I5"/>
  </mergeCells>
  <hyperlinks>
    <hyperlink ref="B15" location="'NI-AHE-13'!A1" display="Barley seeded with alfalfa"/>
    <hyperlink ref="B16" location="'NI-AH-13'!A1" display="Alfalfa Hay Production"/>
  </hyperlinks>
  <pageMargins left="0.7" right="0.7" top="0.75" bottom="0.75" header="0.3" footer="0.3"/>
  <pageSetup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2:H93"/>
  <sheetViews>
    <sheetView topLeftCell="A56" zoomScaleNormal="100" workbookViewId="0">
      <selection activeCell="D78" sqref="D78"/>
    </sheetView>
  </sheetViews>
  <sheetFormatPr defaultColWidth="11.42578125" defaultRowHeight="12.75" x14ac:dyDescent="0.2"/>
  <cols>
    <col min="1" max="1" width="3.140625" style="34" customWidth="1"/>
    <col min="2" max="2" width="29.7109375" style="34" customWidth="1"/>
    <col min="3" max="3" width="10.7109375" style="51" customWidth="1"/>
    <col min="4" max="4" width="10.7109375" style="82" customWidth="1"/>
    <col min="5" max="5" width="10.42578125" style="34" customWidth="1"/>
    <col min="6" max="16384" width="11.42578125" style="34"/>
  </cols>
  <sheetData>
    <row r="2" spans="2:8" ht="18" customHeight="1" x14ac:dyDescent="0.2">
      <c r="B2" s="294" t="s">
        <v>28</v>
      </c>
      <c r="C2" s="295"/>
      <c r="D2" s="296"/>
      <c r="E2" s="297"/>
      <c r="F2" s="250"/>
      <c r="G2" s="250"/>
      <c r="H2" s="250"/>
    </row>
    <row r="3" spans="2:8" x14ac:dyDescent="0.2">
      <c r="B3" s="298" t="s">
        <v>290</v>
      </c>
      <c r="C3" s="299"/>
      <c r="D3" s="300"/>
      <c r="E3" s="301"/>
      <c r="F3" s="250"/>
      <c r="G3" s="250"/>
      <c r="H3" s="250"/>
    </row>
    <row r="4" spans="2:8" x14ac:dyDescent="0.2">
      <c r="B4" s="302" t="s">
        <v>291</v>
      </c>
      <c r="C4" s="302"/>
      <c r="D4" s="302"/>
      <c r="E4" s="302"/>
      <c r="F4" s="250"/>
      <c r="G4" s="250"/>
      <c r="H4" s="250"/>
    </row>
    <row r="5" spans="2:8" x14ac:dyDescent="0.2">
      <c r="B5" s="303" t="s">
        <v>5</v>
      </c>
      <c r="C5" s="304"/>
      <c r="D5" s="305"/>
      <c r="E5" s="306"/>
      <c r="F5" s="250"/>
      <c r="G5" s="250"/>
      <c r="H5" s="250"/>
    </row>
    <row r="6" spans="2:8" x14ac:dyDescent="0.2">
      <c r="B6" s="307" t="s">
        <v>6</v>
      </c>
      <c r="C6" s="295"/>
      <c r="D6" s="296"/>
      <c r="E6" s="297"/>
      <c r="F6" s="250"/>
      <c r="G6" s="250"/>
      <c r="H6" s="250"/>
    </row>
    <row r="7" spans="2:8" ht="18" customHeight="1" x14ac:dyDescent="0.2"/>
    <row r="8" spans="2:8" ht="31.5" customHeight="1" x14ac:dyDescent="0.2">
      <c r="B8" s="395" t="s">
        <v>387</v>
      </c>
      <c r="C8" s="395"/>
      <c r="D8" s="395"/>
      <c r="E8" s="396"/>
    </row>
    <row r="9" spans="2:8" ht="15" customHeight="1" x14ac:dyDescent="0.2">
      <c r="B9" s="127"/>
      <c r="C9" s="122"/>
      <c r="D9" s="372">
        <v>2015</v>
      </c>
      <c r="E9" s="128"/>
    </row>
    <row r="10" spans="2:8" ht="15" customHeight="1" x14ac:dyDescent="0.2">
      <c r="B10" s="125" t="s">
        <v>160</v>
      </c>
      <c r="C10" s="124" t="s">
        <v>101</v>
      </c>
      <c r="D10" s="123" t="s">
        <v>118</v>
      </c>
      <c r="E10" s="126"/>
    </row>
    <row r="11" spans="2:8" ht="15" customHeight="1" x14ac:dyDescent="0.2">
      <c r="B11" s="129" t="s">
        <v>114</v>
      </c>
      <c r="C11" s="130"/>
      <c r="D11" s="130"/>
      <c r="E11" s="135"/>
    </row>
    <row r="12" spans="2:8" ht="15" customHeight="1" x14ac:dyDescent="0.2">
      <c r="B12" s="131" t="s">
        <v>117</v>
      </c>
      <c r="C12" s="130" t="s">
        <v>175</v>
      </c>
      <c r="D12" s="348">
        <v>3</v>
      </c>
      <c r="E12" s="136"/>
    </row>
    <row r="13" spans="2:8" ht="15" customHeight="1" x14ac:dyDescent="0.2">
      <c r="B13" s="131" t="s">
        <v>84</v>
      </c>
      <c r="C13" s="130" t="s">
        <v>175</v>
      </c>
      <c r="D13" s="348">
        <v>2.6</v>
      </c>
      <c r="E13" s="136"/>
    </row>
    <row r="14" spans="2:8" ht="15" customHeight="1" x14ac:dyDescent="0.2">
      <c r="B14" s="131"/>
      <c r="C14" s="130"/>
      <c r="D14" s="349"/>
      <c r="E14" s="135"/>
    </row>
    <row r="15" spans="2:8" ht="15" customHeight="1" x14ac:dyDescent="0.2">
      <c r="B15" s="129" t="s">
        <v>130</v>
      </c>
      <c r="C15" s="130"/>
      <c r="D15" s="349"/>
      <c r="E15" s="135"/>
    </row>
    <row r="16" spans="2:8" s="206" customFormat="1" ht="15" customHeight="1" x14ac:dyDescent="0.2">
      <c r="B16" s="149" t="s">
        <v>223</v>
      </c>
      <c r="C16" s="200" t="s">
        <v>124</v>
      </c>
      <c r="D16" s="348">
        <v>4.3499999999999996</v>
      </c>
      <c r="E16" s="137"/>
    </row>
    <row r="17" spans="2:5" s="250" customFormat="1" ht="15" customHeight="1" x14ac:dyDescent="0.2">
      <c r="B17" s="149" t="s">
        <v>359</v>
      </c>
      <c r="C17" s="200" t="s">
        <v>124</v>
      </c>
      <c r="D17" s="348">
        <v>0.3125</v>
      </c>
      <c r="E17" s="137"/>
    </row>
    <row r="18" spans="2:5" ht="15" customHeight="1" x14ac:dyDescent="0.2">
      <c r="B18" s="131"/>
      <c r="C18" s="130"/>
      <c r="D18" s="349"/>
      <c r="E18" s="137"/>
    </row>
    <row r="19" spans="2:5" ht="15" customHeight="1" x14ac:dyDescent="0.2">
      <c r="B19" s="129" t="s">
        <v>143</v>
      </c>
      <c r="C19" s="130"/>
      <c r="D19" s="349"/>
      <c r="E19" s="137"/>
    </row>
    <row r="20" spans="2:5" ht="15" customHeight="1" x14ac:dyDescent="0.2">
      <c r="B20" s="149" t="s">
        <v>58</v>
      </c>
      <c r="C20" s="130" t="s">
        <v>124</v>
      </c>
      <c r="D20" s="348">
        <v>0.56999999999999995</v>
      </c>
      <c r="E20" s="136"/>
    </row>
    <row r="21" spans="2:5" ht="15" customHeight="1" x14ac:dyDescent="0.2">
      <c r="B21" s="149" t="s">
        <v>313</v>
      </c>
      <c r="C21" s="130" t="s">
        <v>124</v>
      </c>
      <c r="D21" s="348">
        <v>0.55000000000000004</v>
      </c>
      <c r="E21" s="136"/>
    </row>
    <row r="22" spans="2:5" ht="15" customHeight="1" x14ac:dyDescent="0.2">
      <c r="B22" s="149" t="s">
        <v>314</v>
      </c>
      <c r="C22" s="130" t="s">
        <v>124</v>
      </c>
      <c r="D22" s="348">
        <v>0.28000000000000003</v>
      </c>
      <c r="E22" s="136"/>
    </row>
    <row r="23" spans="2:5" ht="15" customHeight="1" x14ac:dyDescent="0.2">
      <c r="B23" s="149" t="s">
        <v>156</v>
      </c>
      <c r="C23" s="130" t="s">
        <v>124</v>
      </c>
      <c r="D23" s="348">
        <f>611.26/2000</f>
        <v>0.30563000000000001</v>
      </c>
      <c r="E23" s="136"/>
    </row>
    <row r="24" spans="2:5" s="206" customFormat="1" ht="15" customHeight="1" x14ac:dyDescent="0.2">
      <c r="B24" s="149" t="s">
        <v>224</v>
      </c>
      <c r="C24" s="200" t="s">
        <v>124</v>
      </c>
      <c r="D24" s="348">
        <v>0.16</v>
      </c>
      <c r="E24" s="136"/>
    </row>
    <row r="25" spans="2:5" s="198" customFormat="1" ht="15" customHeight="1" x14ac:dyDescent="0.2">
      <c r="B25" s="149" t="s">
        <v>197</v>
      </c>
      <c r="C25" s="130"/>
      <c r="D25" s="349"/>
      <c r="E25" s="136"/>
    </row>
    <row r="26" spans="2:5" ht="15" customHeight="1" x14ac:dyDescent="0.2">
      <c r="B26" s="131"/>
      <c r="C26" s="130"/>
      <c r="D26" s="349"/>
      <c r="E26" s="137"/>
    </row>
    <row r="27" spans="2:5" ht="15" customHeight="1" x14ac:dyDescent="0.2">
      <c r="B27" s="129" t="s">
        <v>68</v>
      </c>
      <c r="C27" s="130"/>
      <c r="D27" s="349"/>
      <c r="E27" s="137"/>
    </row>
    <row r="28" spans="2:5" ht="15" customHeight="1" x14ac:dyDescent="0.2">
      <c r="B28" s="131" t="s">
        <v>162</v>
      </c>
      <c r="C28" s="130" t="s">
        <v>124</v>
      </c>
      <c r="D28" s="348">
        <v>0.22</v>
      </c>
      <c r="E28" s="137"/>
    </row>
    <row r="29" spans="2:5" ht="15" customHeight="1" x14ac:dyDescent="0.2">
      <c r="B29" s="131" t="s">
        <v>189</v>
      </c>
      <c r="C29" s="200" t="s">
        <v>126</v>
      </c>
      <c r="D29" s="360">
        <v>0.05</v>
      </c>
      <c r="E29" s="137"/>
    </row>
    <row r="30" spans="2:5" s="198" customFormat="1" ht="15" customHeight="1" x14ac:dyDescent="0.2">
      <c r="B30" s="149" t="s">
        <v>198</v>
      </c>
      <c r="C30" s="200" t="s">
        <v>126</v>
      </c>
      <c r="D30" s="348">
        <f>14.9/128</f>
        <v>0.11640625</v>
      </c>
      <c r="E30" s="137"/>
    </row>
    <row r="31" spans="2:5" s="61" customFormat="1" ht="15" customHeight="1" x14ac:dyDescent="0.2">
      <c r="B31" s="131" t="s">
        <v>0</v>
      </c>
      <c r="C31" s="130" t="s">
        <v>172</v>
      </c>
      <c r="D31" s="348">
        <v>1.88</v>
      </c>
      <c r="E31" s="137"/>
    </row>
    <row r="32" spans="2:5" ht="15" customHeight="1" x14ac:dyDescent="0.2">
      <c r="B32" s="131"/>
      <c r="C32" s="130"/>
      <c r="D32" s="349"/>
      <c r="E32" s="137"/>
    </row>
    <row r="33" spans="2:5" ht="15" customHeight="1" x14ac:dyDescent="0.2">
      <c r="B33" s="131"/>
      <c r="C33" s="130"/>
      <c r="D33" s="349"/>
      <c r="E33" s="137"/>
    </row>
    <row r="34" spans="2:5" ht="15" customHeight="1" x14ac:dyDescent="0.2">
      <c r="B34" s="129" t="s">
        <v>108</v>
      </c>
      <c r="C34" s="130"/>
      <c r="D34" s="349"/>
      <c r="E34" s="137"/>
    </row>
    <row r="35" spans="2:5" ht="15" customHeight="1" x14ac:dyDescent="0.2">
      <c r="B35" s="149" t="s">
        <v>140</v>
      </c>
      <c r="C35" s="150" t="s">
        <v>125</v>
      </c>
      <c r="D35" s="348">
        <v>8.9499999999999993</v>
      </c>
      <c r="E35" s="137"/>
    </row>
    <row r="36" spans="2:5" ht="15" customHeight="1" x14ac:dyDescent="0.2">
      <c r="B36" s="149" t="s">
        <v>106</v>
      </c>
      <c r="C36" s="150" t="s">
        <v>125</v>
      </c>
      <c r="D36" s="348">
        <v>1</v>
      </c>
      <c r="E36" s="137"/>
    </row>
    <row r="37" spans="2:5" ht="15" customHeight="1" x14ac:dyDescent="0.2">
      <c r="B37" s="149" t="s">
        <v>104</v>
      </c>
      <c r="C37" s="150" t="s">
        <v>125</v>
      </c>
      <c r="D37" s="360">
        <v>10</v>
      </c>
      <c r="E37" s="137"/>
    </row>
    <row r="38" spans="2:5" ht="15" customHeight="1" x14ac:dyDescent="0.2">
      <c r="B38" s="149" t="s">
        <v>105</v>
      </c>
      <c r="C38" s="150" t="s">
        <v>125</v>
      </c>
      <c r="D38" s="360">
        <v>2.5</v>
      </c>
      <c r="E38" s="137"/>
    </row>
    <row r="39" spans="2:5" ht="15" customHeight="1" x14ac:dyDescent="0.2">
      <c r="B39" s="149" t="s">
        <v>103</v>
      </c>
      <c r="C39" s="150" t="s">
        <v>125</v>
      </c>
      <c r="D39" s="360">
        <v>2</v>
      </c>
      <c r="E39" s="137"/>
    </row>
    <row r="40" spans="2:5" s="250" customFormat="1" ht="15" customHeight="1" x14ac:dyDescent="0.2">
      <c r="B40" s="149" t="s">
        <v>352</v>
      </c>
      <c r="C40" s="150" t="s">
        <v>125</v>
      </c>
      <c r="D40" s="360">
        <v>25</v>
      </c>
      <c r="E40" s="137"/>
    </row>
    <row r="41" spans="2:5" ht="15" customHeight="1" x14ac:dyDescent="0.2">
      <c r="B41" s="132"/>
      <c r="C41" s="133"/>
      <c r="D41" s="363"/>
      <c r="E41" s="138"/>
    </row>
    <row r="42" spans="2:5" ht="15" customHeight="1" x14ac:dyDescent="0.2">
      <c r="B42" s="129" t="s">
        <v>115</v>
      </c>
      <c r="C42" s="130"/>
      <c r="D42" s="349"/>
      <c r="E42" s="137"/>
    </row>
    <row r="43" spans="2:5" ht="15" customHeight="1" x14ac:dyDescent="0.2">
      <c r="B43" s="131" t="s">
        <v>326</v>
      </c>
      <c r="C43" s="130" t="s">
        <v>126</v>
      </c>
      <c r="D43" s="348">
        <f>36.71/128</f>
        <v>0.28679687500000001</v>
      </c>
      <c r="E43" s="137"/>
    </row>
    <row r="44" spans="2:5" ht="15" customHeight="1" x14ac:dyDescent="0.2">
      <c r="B44" s="131" t="s">
        <v>161</v>
      </c>
      <c r="C44" s="130" t="s">
        <v>126</v>
      </c>
      <c r="D44" s="348">
        <v>1.17</v>
      </c>
      <c r="E44" s="137"/>
    </row>
    <row r="45" spans="2:5" ht="15" customHeight="1" x14ac:dyDescent="0.2">
      <c r="B45" s="131" t="s">
        <v>331</v>
      </c>
      <c r="C45" s="130" t="s">
        <v>126</v>
      </c>
      <c r="D45" s="360">
        <v>11.98</v>
      </c>
      <c r="E45" s="137"/>
    </row>
    <row r="46" spans="2:5" ht="15" customHeight="1" x14ac:dyDescent="0.2">
      <c r="B46" s="131" t="s">
        <v>327</v>
      </c>
      <c r="C46" s="130" t="s">
        <v>126</v>
      </c>
      <c r="D46" s="348">
        <f>110.34/128</f>
        <v>0.86203125000000003</v>
      </c>
      <c r="E46" s="137"/>
    </row>
    <row r="47" spans="2:5" ht="15" customHeight="1" x14ac:dyDescent="0.2">
      <c r="B47" s="131" t="s">
        <v>205</v>
      </c>
      <c r="C47" s="130" t="s">
        <v>126</v>
      </c>
      <c r="D47" s="348">
        <f>178.25/128</f>
        <v>1.392578125</v>
      </c>
      <c r="E47" s="137"/>
    </row>
    <row r="48" spans="2:5" ht="15" customHeight="1" x14ac:dyDescent="0.2">
      <c r="B48" s="149" t="s">
        <v>199</v>
      </c>
      <c r="C48" s="130" t="s">
        <v>172</v>
      </c>
      <c r="D48" s="360">
        <v>6.88</v>
      </c>
      <c r="E48" s="137"/>
    </row>
    <row r="49" spans="2:6" ht="15" customHeight="1" x14ac:dyDescent="0.2">
      <c r="B49" s="131" t="s">
        <v>83</v>
      </c>
      <c r="C49" s="130" t="s">
        <v>126</v>
      </c>
      <c r="D49" s="348">
        <f>49.02/128</f>
        <v>0.38296875000000002</v>
      </c>
      <c r="E49" s="137"/>
    </row>
    <row r="50" spans="2:6" ht="15" customHeight="1" x14ac:dyDescent="0.2">
      <c r="B50" s="149" t="s">
        <v>332</v>
      </c>
      <c r="C50" s="200" t="s">
        <v>126</v>
      </c>
      <c r="D50" s="360">
        <f>338.24/128</f>
        <v>2.6425000000000001</v>
      </c>
      <c r="E50" s="137"/>
      <c r="F50" s="61"/>
    </row>
    <row r="51" spans="2:6" ht="15" customHeight="1" x14ac:dyDescent="0.2">
      <c r="B51" s="149" t="s">
        <v>203</v>
      </c>
      <c r="C51" s="130" t="s">
        <v>172</v>
      </c>
      <c r="D51" s="348">
        <f>67.23/8</f>
        <v>8.4037500000000005</v>
      </c>
      <c r="E51" s="137"/>
    </row>
    <row r="52" spans="2:6" ht="15" customHeight="1" x14ac:dyDescent="0.2">
      <c r="B52" s="149" t="s">
        <v>200</v>
      </c>
      <c r="C52" s="130" t="s">
        <v>126</v>
      </c>
      <c r="D52" s="348">
        <v>1.47</v>
      </c>
      <c r="E52" s="137"/>
    </row>
    <row r="53" spans="2:6" ht="15" customHeight="1" x14ac:dyDescent="0.2">
      <c r="B53" s="131" t="s">
        <v>328</v>
      </c>
      <c r="C53" s="130" t="s">
        <v>96</v>
      </c>
      <c r="D53" s="348">
        <f>66.64/4</f>
        <v>16.66</v>
      </c>
      <c r="E53" s="137"/>
    </row>
    <row r="54" spans="2:6" ht="15" customHeight="1" x14ac:dyDescent="0.2">
      <c r="B54" s="131" t="s">
        <v>164</v>
      </c>
      <c r="C54" s="130" t="s">
        <v>126</v>
      </c>
      <c r="D54" s="348">
        <v>17.34</v>
      </c>
      <c r="E54" s="137"/>
    </row>
    <row r="55" spans="2:6" ht="15" customHeight="1" x14ac:dyDescent="0.2">
      <c r="B55" s="149" t="s">
        <v>329</v>
      </c>
      <c r="C55" s="130" t="s">
        <v>126</v>
      </c>
      <c r="D55" s="348">
        <f>22.63/128</f>
        <v>0.17679687499999999</v>
      </c>
      <c r="E55" s="137"/>
    </row>
    <row r="56" spans="2:6" ht="15" customHeight="1" x14ac:dyDescent="0.2">
      <c r="B56" s="131" t="s">
        <v>34</v>
      </c>
      <c r="C56" s="130" t="s">
        <v>124</v>
      </c>
      <c r="D56" s="348">
        <v>15.41</v>
      </c>
      <c r="E56" s="137"/>
    </row>
    <row r="57" spans="2:6" ht="15" customHeight="1" x14ac:dyDescent="0.2">
      <c r="B57" s="131" t="s">
        <v>165</v>
      </c>
      <c r="C57" s="130" t="s">
        <v>126</v>
      </c>
      <c r="D57" s="348">
        <v>20.77</v>
      </c>
      <c r="E57" s="137"/>
    </row>
    <row r="58" spans="2:6" s="250" customFormat="1" ht="15" customHeight="1" x14ac:dyDescent="0.2">
      <c r="B58" s="149" t="s">
        <v>378</v>
      </c>
      <c r="C58" s="200" t="s">
        <v>126</v>
      </c>
      <c r="D58" s="348">
        <f>192.28/128</f>
        <v>1.5021875</v>
      </c>
      <c r="E58" s="137"/>
    </row>
    <row r="59" spans="2:6" ht="15" customHeight="1" x14ac:dyDescent="0.2">
      <c r="B59" s="131" t="s">
        <v>163</v>
      </c>
      <c r="C59" s="130" t="s">
        <v>126</v>
      </c>
      <c r="D59" s="348">
        <v>4.3099999999999996</v>
      </c>
      <c r="E59" s="137"/>
    </row>
    <row r="60" spans="2:6" ht="15" customHeight="1" x14ac:dyDescent="0.2">
      <c r="B60" s="149" t="s">
        <v>201</v>
      </c>
      <c r="C60" s="130" t="s">
        <v>172</v>
      </c>
      <c r="D60" s="348">
        <f>134.13/8</f>
        <v>16.766249999999999</v>
      </c>
      <c r="E60" s="137"/>
    </row>
    <row r="61" spans="2:6" ht="15" customHeight="1" x14ac:dyDescent="0.2">
      <c r="B61" s="149" t="s">
        <v>202</v>
      </c>
      <c r="C61" s="130" t="s">
        <v>126</v>
      </c>
      <c r="D61" s="360">
        <f>58.53/128</f>
        <v>0.45726562500000001</v>
      </c>
      <c r="E61" s="137"/>
    </row>
    <row r="62" spans="2:6" ht="15" customHeight="1" x14ac:dyDescent="0.2">
      <c r="B62" s="131" t="s">
        <v>333</v>
      </c>
      <c r="C62" s="130" t="s">
        <v>126</v>
      </c>
      <c r="D62" s="360">
        <f>452.07/128</f>
        <v>3.5317968749999999</v>
      </c>
      <c r="E62" s="137"/>
    </row>
    <row r="63" spans="2:6" ht="15" customHeight="1" x14ac:dyDescent="0.2">
      <c r="B63" s="131" t="s">
        <v>330</v>
      </c>
      <c r="C63" s="130" t="s">
        <v>126</v>
      </c>
      <c r="D63" s="348">
        <f>135.64/128</f>
        <v>1.0596874999999999</v>
      </c>
      <c r="E63" s="137"/>
    </row>
    <row r="64" spans="2:6" ht="15" customHeight="1" x14ac:dyDescent="0.2">
      <c r="B64" s="131" t="s">
        <v>102</v>
      </c>
      <c r="C64" s="130" t="s">
        <v>126</v>
      </c>
      <c r="D64" s="348">
        <f>228.42/128</f>
        <v>1.7845312499999999</v>
      </c>
      <c r="E64" s="137"/>
    </row>
    <row r="65" spans="2:5" ht="15" customHeight="1" x14ac:dyDescent="0.2">
      <c r="B65" s="149" t="s">
        <v>374</v>
      </c>
      <c r="C65" s="130" t="s">
        <v>126</v>
      </c>
      <c r="D65" s="360">
        <f>85.6/128</f>
        <v>0.66874999999999996</v>
      </c>
      <c r="E65" s="137"/>
    </row>
    <row r="66" spans="2:5" ht="15" customHeight="1" x14ac:dyDescent="0.2">
      <c r="B66" s="131" t="s">
        <v>375</v>
      </c>
      <c r="C66" s="130" t="s">
        <v>126</v>
      </c>
      <c r="D66" s="348">
        <f>95.79/128</f>
        <v>0.74835937500000005</v>
      </c>
      <c r="E66" s="137"/>
    </row>
    <row r="67" spans="2:5" ht="15" customHeight="1" x14ac:dyDescent="0.2">
      <c r="B67" s="131"/>
      <c r="C67" s="130"/>
      <c r="D67" s="349"/>
      <c r="E67" s="137"/>
    </row>
    <row r="68" spans="2:5" s="245" customFormat="1" ht="15" customHeight="1" x14ac:dyDescent="0.2">
      <c r="B68" s="134" t="s">
        <v>388</v>
      </c>
      <c r="C68" s="130"/>
      <c r="D68" s="349"/>
      <c r="E68" s="137"/>
    </row>
    <row r="69" spans="2:5" s="245" customFormat="1" ht="15" customHeight="1" x14ac:dyDescent="0.2">
      <c r="B69" s="149" t="s">
        <v>232</v>
      </c>
      <c r="C69" s="200" t="s">
        <v>125</v>
      </c>
      <c r="D69" s="360">
        <v>18</v>
      </c>
      <c r="E69" s="137"/>
    </row>
    <row r="70" spans="2:5" s="245" customFormat="1" ht="15" customHeight="1" x14ac:dyDescent="0.2">
      <c r="B70" s="149" t="s">
        <v>360</v>
      </c>
      <c r="C70" s="200" t="s">
        <v>153</v>
      </c>
      <c r="D70" s="360">
        <v>2</v>
      </c>
      <c r="E70" s="137"/>
    </row>
    <row r="71" spans="2:5" s="245" customFormat="1" ht="15" customHeight="1" x14ac:dyDescent="0.2">
      <c r="B71" s="149"/>
      <c r="C71" s="200"/>
      <c r="D71" s="348"/>
      <c r="E71" s="137"/>
    </row>
    <row r="72" spans="2:5" ht="15" customHeight="1" x14ac:dyDescent="0.2">
      <c r="B72" s="134" t="s">
        <v>210</v>
      </c>
      <c r="C72" s="130"/>
      <c r="D72" s="349"/>
      <c r="E72" s="137"/>
    </row>
    <row r="73" spans="2:5" ht="15" customHeight="1" x14ac:dyDescent="0.2">
      <c r="B73" s="149" t="s">
        <v>209</v>
      </c>
      <c r="C73" s="130" t="s">
        <v>119</v>
      </c>
      <c r="D73" s="348">
        <v>17.8</v>
      </c>
      <c r="E73" s="137"/>
    </row>
    <row r="74" spans="2:5" s="199" customFormat="1" ht="15" customHeight="1" x14ac:dyDescent="0.2">
      <c r="B74" s="149" t="s">
        <v>208</v>
      </c>
      <c r="C74" s="200" t="s">
        <v>119</v>
      </c>
      <c r="D74" s="348">
        <v>10.25</v>
      </c>
      <c r="E74" s="137"/>
    </row>
    <row r="75" spans="2:5" ht="15" customHeight="1" x14ac:dyDescent="0.2">
      <c r="B75" s="131"/>
      <c r="C75" s="130"/>
      <c r="D75" s="349"/>
      <c r="E75" s="137"/>
    </row>
    <row r="76" spans="2:5" s="198" customFormat="1" ht="15" customHeight="1" x14ac:dyDescent="0.2">
      <c r="B76" s="134" t="s">
        <v>194</v>
      </c>
      <c r="C76" s="130"/>
      <c r="D76" s="349"/>
      <c r="E76" s="137"/>
    </row>
    <row r="77" spans="2:5" s="198" customFormat="1" ht="15" customHeight="1" x14ac:dyDescent="0.2">
      <c r="B77" s="149" t="s">
        <v>33</v>
      </c>
      <c r="C77" s="130" t="s">
        <v>122</v>
      </c>
      <c r="D77" s="350">
        <v>0.05</v>
      </c>
      <c r="E77" s="137"/>
    </row>
    <row r="78" spans="2:5" s="198" customFormat="1" ht="15" customHeight="1" x14ac:dyDescent="0.2">
      <c r="B78" s="131"/>
      <c r="C78" s="130"/>
      <c r="D78" s="349"/>
      <c r="E78" s="137"/>
    </row>
    <row r="79" spans="2:5" s="199" customFormat="1" ht="15" customHeight="1" x14ac:dyDescent="0.2">
      <c r="B79" s="134" t="s">
        <v>211</v>
      </c>
      <c r="C79" s="130"/>
      <c r="D79" s="349"/>
      <c r="E79" s="137"/>
    </row>
    <row r="80" spans="2:5" s="199" customFormat="1" ht="15" customHeight="1" x14ac:dyDescent="0.2">
      <c r="B80" s="149" t="s">
        <v>207</v>
      </c>
      <c r="C80" s="130" t="s">
        <v>122</v>
      </c>
      <c r="D80" s="350">
        <v>0.05</v>
      </c>
      <c r="E80" s="137"/>
    </row>
    <row r="81" spans="2:5" s="199" customFormat="1" ht="15" customHeight="1" x14ac:dyDescent="0.2">
      <c r="B81" s="131"/>
      <c r="C81" s="130"/>
      <c r="D81" s="349"/>
      <c r="E81" s="137"/>
    </row>
    <row r="82" spans="2:5" ht="15" customHeight="1" x14ac:dyDescent="0.2">
      <c r="B82" s="129" t="s">
        <v>81</v>
      </c>
      <c r="C82" s="130"/>
      <c r="D82" s="349"/>
      <c r="E82" s="137"/>
    </row>
    <row r="83" spans="2:5" ht="15" customHeight="1" x14ac:dyDescent="0.2">
      <c r="B83" s="131" t="s">
        <v>80</v>
      </c>
      <c r="C83" s="130" t="s">
        <v>125</v>
      </c>
      <c r="D83" s="348">
        <v>0</v>
      </c>
      <c r="E83" s="137"/>
    </row>
    <row r="84" spans="2:5" ht="15" customHeight="1" x14ac:dyDescent="0.2">
      <c r="B84" s="131"/>
      <c r="C84" s="130"/>
      <c r="D84" s="349"/>
      <c r="E84" s="137"/>
    </row>
    <row r="85" spans="2:5" ht="15" customHeight="1" x14ac:dyDescent="0.2">
      <c r="B85" s="134" t="s">
        <v>29</v>
      </c>
      <c r="C85" s="130"/>
      <c r="D85" s="349"/>
      <c r="E85" s="137"/>
    </row>
    <row r="86" spans="2:5" ht="15" customHeight="1" x14ac:dyDescent="0.2">
      <c r="B86" s="131" t="s">
        <v>30</v>
      </c>
      <c r="C86" s="130" t="s">
        <v>125</v>
      </c>
      <c r="D86" s="348">
        <v>5.5</v>
      </c>
      <c r="E86" s="137"/>
    </row>
    <row r="87" spans="2:5" ht="15" customHeight="1" x14ac:dyDescent="0.2">
      <c r="B87" s="131"/>
      <c r="C87" s="130"/>
      <c r="D87" s="349"/>
      <c r="E87" s="137"/>
    </row>
    <row r="88" spans="2:5" ht="15" customHeight="1" x14ac:dyDescent="0.2">
      <c r="B88" s="129" t="s">
        <v>120</v>
      </c>
      <c r="C88" s="130"/>
      <c r="D88" s="349"/>
      <c r="E88" s="137"/>
    </row>
    <row r="89" spans="2:5" ht="15" customHeight="1" x14ac:dyDescent="0.2">
      <c r="B89" s="131" t="s">
        <v>121</v>
      </c>
      <c r="C89" s="130" t="s">
        <v>122</v>
      </c>
      <c r="D89" s="351">
        <v>5.7500000000000002E-2</v>
      </c>
      <c r="E89" s="137"/>
    </row>
    <row r="90" spans="2:5" ht="15" customHeight="1" x14ac:dyDescent="0.2">
      <c r="B90" s="132" t="s">
        <v>76</v>
      </c>
      <c r="C90" s="133" t="s">
        <v>122</v>
      </c>
      <c r="D90" s="361">
        <v>0.06</v>
      </c>
      <c r="E90" s="138"/>
    </row>
    <row r="91" spans="2:5" ht="14.25" x14ac:dyDescent="0.2">
      <c r="B91" s="61" t="s">
        <v>195</v>
      </c>
    </row>
    <row r="92" spans="2:5" ht="14.25" x14ac:dyDescent="0.2">
      <c r="B92" s="61" t="s">
        <v>196</v>
      </c>
    </row>
    <row r="93" spans="2:5" ht="14.25" x14ac:dyDescent="0.2">
      <c r="B93" s="61" t="s">
        <v>212</v>
      </c>
    </row>
  </sheetData>
  <mergeCells count="1">
    <mergeCell ref="B8:E8"/>
  </mergeCells>
  <phoneticPr fontId="5" type="noConversion"/>
  <printOptions horizontalCentered="1"/>
  <pageMargins left="0.75" right="0.75" top="1" bottom="1" header="0" footer="0.5"/>
  <pageSetup scale="70" orientation="portrait" r:id="rId1"/>
  <headerFooter alignWithMargins="0">
    <oddFooter>&amp;L&amp;A&amp;C&amp;F&amp;R&amp;D</oddFooter>
  </headerFooter>
  <rowBreaks count="1" manualBreakCount="1">
    <brk id="41"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0"/>
  <sheetViews>
    <sheetView topLeftCell="B4" zoomScaleNormal="100" workbookViewId="0">
      <selection activeCell="B27" sqref="B27"/>
    </sheetView>
  </sheetViews>
  <sheetFormatPr defaultRowHeight="12.75" x14ac:dyDescent="0.2"/>
  <cols>
    <col min="1" max="1" width="9.140625" style="159"/>
    <col min="2" max="2" width="141.7109375" style="204" customWidth="1"/>
    <col min="3" max="36" width="9.140625" style="159"/>
    <col min="258" max="258" width="141.7109375" customWidth="1"/>
    <col min="514" max="514" width="141.7109375" customWidth="1"/>
    <col min="770" max="770" width="141.7109375" customWidth="1"/>
    <col min="1026" max="1026" width="141.7109375" customWidth="1"/>
    <col min="1282" max="1282" width="141.7109375" customWidth="1"/>
    <col min="1538" max="1538" width="141.7109375" customWidth="1"/>
    <col min="1794" max="1794" width="141.7109375" customWidth="1"/>
    <col min="2050" max="2050" width="141.7109375" customWidth="1"/>
    <col min="2306" max="2306" width="141.7109375" customWidth="1"/>
    <col min="2562" max="2562" width="141.7109375" customWidth="1"/>
    <col min="2818" max="2818" width="141.7109375" customWidth="1"/>
    <col min="3074" max="3074" width="141.7109375" customWidth="1"/>
    <col min="3330" max="3330" width="141.7109375" customWidth="1"/>
    <col min="3586" max="3586" width="141.7109375" customWidth="1"/>
    <col min="3842" max="3842" width="141.7109375" customWidth="1"/>
    <col min="4098" max="4098" width="141.7109375" customWidth="1"/>
    <col min="4354" max="4354" width="141.7109375" customWidth="1"/>
    <col min="4610" max="4610" width="141.7109375" customWidth="1"/>
    <col min="4866" max="4866" width="141.7109375" customWidth="1"/>
    <col min="5122" max="5122" width="141.7109375" customWidth="1"/>
    <col min="5378" max="5378" width="141.7109375" customWidth="1"/>
    <col min="5634" max="5634" width="141.7109375" customWidth="1"/>
    <col min="5890" max="5890" width="141.7109375" customWidth="1"/>
    <col min="6146" max="6146" width="141.7109375" customWidth="1"/>
    <col min="6402" max="6402" width="141.7109375" customWidth="1"/>
    <col min="6658" max="6658" width="141.7109375" customWidth="1"/>
    <col min="6914" max="6914" width="141.7109375" customWidth="1"/>
    <col min="7170" max="7170" width="141.7109375" customWidth="1"/>
    <col min="7426" max="7426" width="141.7109375" customWidth="1"/>
    <col min="7682" max="7682" width="141.7109375" customWidth="1"/>
    <col min="7938" max="7938" width="141.7109375" customWidth="1"/>
    <col min="8194" max="8194" width="141.7109375" customWidth="1"/>
    <col min="8450" max="8450" width="141.7109375" customWidth="1"/>
    <col min="8706" max="8706" width="141.7109375" customWidth="1"/>
    <col min="8962" max="8962" width="141.7109375" customWidth="1"/>
    <col min="9218" max="9218" width="141.7109375" customWidth="1"/>
    <col min="9474" max="9474" width="141.7109375" customWidth="1"/>
    <col min="9730" max="9730" width="141.7109375" customWidth="1"/>
    <col min="9986" max="9986" width="141.7109375" customWidth="1"/>
    <col min="10242" max="10242" width="141.7109375" customWidth="1"/>
    <col min="10498" max="10498" width="141.7109375" customWidth="1"/>
    <col min="10754" max="10754" width="141.7109375" customWidth="1"/>
    <col min="11010" max="11010" width="141.7109375" customWidth="1"/>
    <col min="11266" max="11266" width="141.7109375" customWidth="1"/>
    <col min="11522" max="11522" width="141.7109375" customWidth="1"/>
    <col min="11778" max="11778" width="141.7109375" customWidth="1"/>
    <col min="12034" max="12034" width="141.7109375" customWidth="1"/>
    <col min="12290" max="12290" width="141.7109375" customWidth="1"/>
    <col min="12546" max="12546" width="141.7109375" customWidth="1"/>
    <col min="12802" max="12802" width="141.7109375" customWidth="1"/>
    <col min="13058" max="13058" width="141.7109375" customWidth="1"/>
    <col min="13314" max="13314" width="141.7109375" customWidth="1"/>
    <col min="13570" max="13570" width="141.7109375" customWidth="1"/>
    <col min="13826" max="13826" width="141.7109375" customWidth="1"/>
    <col min="14082" max="14082" width="141.7109375" customWidth="1"/>
    <col min="14338" max="14338" width="141.7109375" customWidth="1"/>
    <col min="14594" max="14594" width="141.7109375" customWidth="1"/>
    <col min="14850" max="14850" width="141.7109375" customWidth="1"/>
    <col min="15106" max="15106" width="141.7109375" customWidth="1"/>
    <col min="15362" max="15362" width="141.7109375" customWidth="1"/>
    <col min="15618" max="15618" width="141.7109375" customWidth="1"/>
    <col min="15874" max="15874" width="141.7109375" customWidth="1"/>
    <col min="16130" max="16130" width="141.7109375" customWidth="1"/>
  </cols>
  <sheetData>
    <row r="1" spans="1:36" x14ac:dyDescent="0.2">
      <c r="B1" s="208"/>
    </row>
    <row r="2" spans="1:36" ht="15.75" x14ac:dyDescent="0.25">
      <c r="B2" s="227" t="s">
        <v>77</v>
      </c>
    </row>
    <row r="3" spans="1:36" ht="21" customHeight="1" x14ac:dyDescent="0.25">
      <c r="B3" s="228" t="s">
        <v>32</v>
      </c>
    </row>
    <row r="4" spans="1:36" ht="30.75" customHeight="1" x14ac:dyDescent="0.2">
      <c r="B4" s="235" t="s">
        <v>334</v>
      </c>
    </row>
    <row r="5" spans="1:36" s="250" customFormat="1" ht="12.6" customHeight="1" x14ac:dyDescent="0.2">
      <c r="B5" s="234" t="s">
        <v>335</v>
      </c>
      <c r="D5" s="158"/>
      <c r="E5" s="215"/>
      <c r="F5" s="215"/>
      <c r="G5" s="215"/>
      <c r="H5" s="215"/>
    </row>
    <row r="6" spans="1:36" ht="21.75" customHeight="1" x14ac:dyDescent="0.25">
      <c r="B6" s="228" t="s">
        <v>170</v>
      </c>
    </row>
    <row r="7" spans="1:36" ht="42" customHeight="1" x14ac:dyDescent="0.2">
      <c r="B7" s="235" t="s">
        <v>336</v>
      </c>
    </row>
    <row r="8" spans="1:36" ht="21" customHeight="1" x14ac:dyDescent="0.25">
      <c r="B8" s="228" t="s">
        <v>82</v>
      </c>
    </row>
    <row r="9" spans="1:36" ht="78.75" customHeight="1" x14ac:dyDescent="0.2">
      <c r="B9" s="235" t="s">
        <v>230</v>
      </c>
    </row>
    <row r="10" spans="1:36" ht="20.25" customHeight="1" x14ac:dyDescent="0.25">
      <c r="B10" s="228" t="s">
        <v>75</v>
      </c>
    </row>
    <row r="11" spans="1:36" ht="38.25" customHeight="1" x14ac:dyDescent="0.2">
      <c r="B11" s="235" t="s">
        <v>225</v>
      </c>
    </row>
    <row r="12" spans="1:36" ht="18" customHeight="1" x14ac:dyDescent="0.2">
      <c r="B12" s="229" t="s">
        <v>79</v>
      </c>
    </row>
    <row r="13" spans="1:36" ht="108.75" customHeight="1" x14ac:dyDescent="0.2">
      <c r="B13" s="235" t="s">
        <v>231</v>
      </c>
    </row>
    <row r="14" spans="1:36" ht="60" customHeight="1" x14ac:dyDescent="0.2">
      <c r="B14" s="235" t="s">
        <v>226</v>
      </c>
    </row>
    <row r="15" spans="1:36" ht="21" customHeight="1" x14ac:dyDescent="0.25">
      <c r="B15" s="228" t="s">
        <v>227</v>
      </c>
    </row>
    <row r="16" spans="1:36" s="43" customFormat="1" ht="55.5" customHeight="1" x14ac:dyDescent="0.2">
      <c r="A16" s="160"/>
      <c r="B16" s="235" t="s">
        <v>141</v>
      </c>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row>
    <row r="17" spans="1:36" s="43" customFormat="1" x14ac:dyDescent="0.2">
      <c r="A17" s="160"/>
      <c r="B17" s="229" t="s">
        <v>142</v>
      </c>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row>
    <row r="18" spans="1:36" s="43" customFormat="1" x14ac:dyDescent="0.2">
      <c r="A18" s="160"/>
      <c r="B18" s="229" t="s">
        <v>35</v>
      </c>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row>
    <row r="19" spans="1:36" s="43" customFormat="1" x14ac:dyDescent="0.2">
      <c r="A19" s="160"/>
      <c r="B19" s="229" t="s">
        <v>36</v>
      </c>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row>
    <row r="20" spans="1:36" s="43" customFormat="1" x14ac:dyDescent="0.2">
      <c r="A20" s="160"/>
      <c r="B20" s="229" t="s">
        <v>37</v>
      </c>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row>
    <row r="21" spans="1:36" s="43" customFormat="1" x14ac:dyDescent="0.2">
      <c r="A21" s="160"/>
      <c r="B21" s="229" t="s">
        <v>38</v>
      </c>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row>
    <row r="22" spans="1:36" s="43" customFormat="1" x14ac:dyDescent="0.2">
      <c r="A22" s="160"/>
      <c r="B22" s="229" t="s">
        <v>39</v>
      </c>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row>
    <row r="23" spans="1:36" s="43" customFormat="1" x14ac:dyDescent="0.2">
      <c r="A23" s="160"/>
      <c r="B23" s="229" t="s">
        <v>40</v>
      </c>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row>
    <row r="24" spans="1:36" s="43" customFormat="1" x14ac:dyDescent="0.2">
      <c r="A24" s="160"/>
      <c r="B24" s="229" t="s">
        <v>41</v>
      </c>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row>
    <row r="25" spans="1:36" s="43" customFormat="1" x14ac:dyDescent="0.2">
      <c r="A25" s="160"/>
      <c r="B25" s="236"/>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row>
    <row r="26" spans="1:36" s="43" customFormat="1" ht="62.25" customHeight="1" x14ac:dyDescent="0.2">
      <c r="A26" s="160"/>
      <c r="B26" s="235" t="s">
        <v>228</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row>
    <row r="27" spans="1:36" ht="20.25" customHeight="1" x14ac:dyDescent="0.25">
      <c r="B27" s="228" t="s">
        <v>78</v>
      </c>
    </row>
    <row r="28" spans="1:36" s="43" customFormat="1" ht="59.25" customHeight="1" x14ac:dyDescent="0.2">
      <c r="A28" s="160"/>
      <c r="B28" s="235" t="s">
        <v>229</v>
      </c>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row>
    <row r="29" spans="1:36" x14ac:dyDescent="0.2">
      <c r="B29" s="230"/>
    </row>
    <row r="30" spans="1:36" x14ac:dyDescent="0.2">
      <c r="B30" s="231" t="s">
        <v>188</v>
      </c>
    </row>
    <row r="31" spans="1:36" x14ac:dyDescent="0.2">
      <c r="B31" s="232" t="s">
        <v>335</v>
      </c>
    </row>
    <row r="32" spans="1:36" x14ac:dyDescent="0.2">
      <c r="B32" s="207"/>
    </row>
    <row r="33" spans="2:2" x14ac:dyDescent="0.2">
      <c r="B33" s="207"/>
    </row>
    <row r="34" spans="2:2" s="159" customFormat="1" x14ac:dyDescent="0.2">
      <c r="B34" s="233"/>
    </row>
    <row r="35" spans="2:2" s="159" customFormat="1" x14ac:dyDescent="0.2">
      <c r="B35" s="233"/>
    </row>
    <row r="36" spans="2:2" s="159" customFormat="1" x14ac:dyDescent="0.2">
      <c r="B36" s="233"/>
    </row>
    <row r="37" spans="2:2" s="159" customFormat="1" x14ac:dyDescent="0.2">
      <c r="B37" s="233"/>
    </row>
    <row r="38" spans="2:2" s="159" customFormat="1" x14ac:dyDescent="0.2">
      <c r="B38" s="233"/>
    </row>
    <row r="39" spans="2:2" s="159" customFormat="1" x14ac:dyDescent="0.2">
      <c r="B39" s="233"/>
    </row>
    <row r="40" spans="2:2" s="159" customFormat="1" x14ac:dyDescent="0.2">
      <c r="B40" s="233"/>
    </row>
    <row r="41" spans="2:2" s="159" customFormat="1" x14ac:dyDescent="0.2">
      <c r="B41" s="233"/>
    </row>
    <row r="42" spans="2:2" s="159" customFormat="1" x14ac:dyDescent="0.2">
      <c r="B42" s="233"/>
    </row>
    <row r="43" spans="2:2" s="159" customFormat="1" x14ac:dyDescent="0.2">
      <c r="B43" s="233"/>
    </row>
    <row r="44" spans="2:2" s="159" customFormat="1" x14ac:dyDescent="0.2">
      <c r="B44" s="233"/>
    </row>
    <row r="45" spans="2:2" s="159" customFormat="1" x14ac:dyDescent="0.2">
      <c r="B45" s="233"/>
    </row>
    <row r="46" spans="2:2" s="159" customFormat="1" x14ac:dyDescent="0.2">
      <c r="B46" s="233"/>
    </row>
    <row r="47" spans="2:2" s="159" customFormat="1" x14ac:dyDescent="0.2">
      <c r="B47" s="233"/>
    </row>
    <row r="48" spans="2:2" s="159" customFormat="1" x14ac:dyDescent="0.2">
      <c r="B48" s="233"/>
    </row>
    <row r="49" spans="2:2" s="159" customFormat="1" x14ac:dyDescent="0.2">
      <c r="B49" s="233"/>
    </row>
    <row r="50" spans="2:2" s="159" customFormat="1" x14ac:dyDescent="0.2">
      <c r="B50" s="233"/>
    </row>
    <row r="51" spans="2:2" s="159" customFormat="1" x14ac:dyDescent="0.2">
      <c r="B51" s="233"/>
    </row>
    <row r="52" spans="2:2" s="159" customFormat="1" x14ac:dyDescent="0.2">
      <c r="B52" s="233"/>
    </row>
    <row r="53" spans="2:2" s="159" customFormat="1" x14ac:dyDescent="0.2">
      <c r="B53" s="233"/>
    </row>
    <row r="54" spans="2:2" s="159" customFormat="1" x14ac:dyDescent="0.2">
      <c r="B54" s="233"/>
    </row>
    <row r="55" spans="2:2" s="159" customFormat="1" x14ac:dyDescent="0.2">
      <c r="B55" s="233"/>
    </row>
    <row r="56" spans="2:2" s="159" customFormat="1" x14ac:dyDescent="0.2">
      <c r="B56" s="233"/>
    </row>
    <row r="57" spans="2:2" s="159" customFormat="1" x14ac:dyDescent="0.2">
      <c r="B57" s="233"/>
    </row>
    <row r="58" spans="2:2" s="159" customFormat="1" x14ac:dyDescent="0.2">
      <c r="B58" s="233"/>
    </row>
    <row r="59" spans="2:2" s="159" customFormat="1" x14ac:dyDescent="0.2">
      <c r="B59" s="233"/>
    </row>
    <row r="60" spans="2:2" s="159" customFormat="1" x14ac:dyDescent="0.2">
      <c r="B60" s="233"/>
    </row>
    <row r="61" spans="2:2" s="159" customFormat="1" x14ac:dyDescent="0.2">
      <c r="B61" s="233"/>
    </row>
    <row r="62" spans="2:2" s="159" customFormat="1" x14ac:dyDescent="0.2">
      <c r="B62" s="233"/>
    </row>
    <row r="63" spans="2:2" s="159" customFormat="1" x14ac:dyDescent="0.2">
      <c r="B63" s="233"/>
    </row>
    <row r="64" spans="2:2" s="159" customFormat="1" x14ac:dyDescent="0.2">
      <c r="B64" s="233"/>
    </row>
    <row r="65" spans="2:2" s="159" customFormat="1" x14ac:dyDescent="0.2">
      <c r="B65" s="233"/>
    </row>
    <row r="66" spans="2:2" s="159" customFormat="1" x14ac:dyDescent="0.2">
      <c r="B66" s="233"/>
    </row>
    <row r="67" spans="2:2" s="159" customFormat="1" x14ac:dyDescent="0.2">
      <c r="B67" s="233"/>
    </row>
    <row r="68" spans="2:2" s="159" customFormat="1" x14ac:dyDescent="0.2">
      <c r="B68" s="233"/>
    </row>
    <row r="69" spans="2:2" s="159" customFormat="1" x14ac:dyDescent="0.2">
      <c r="B69" s="233"/>
    </row>
    <row r="70" spans="2:2" s="159" customFormat="1" x14ac:dyDescent="0.2">
      <c r="B70" s="233"/>
    </row>
    <row r="71" spans="2:2" s="159" customFormat="1" x14ac:dyDescent="0.2">
      <c r="B71" s="233"/>
    </row>
    <row r="72" spans="2:2" s="159" customFormat="1" x14ac:dyDescent="0.2">
      <c r="B72" s="233"/>
    </row>
    <row r="73" spans="2:2" s="159" customFormat="1" x14ac:dyDescent="0.2">
      <c r="B73" s="233"/>
    </row>
    <row r="74" spans="2:2" s="159" customFormat="1" x14ac:dyDescent="0.2">
      <c r="B74" s="233"/>
    </row>
    <row r="75" spans="2:2" s="159" customFormat="1" x14ac:dyDescent="0.2">
      <c r="B75" s="233"/>
    </row>
    <row r="76" spans="2:2" s="159" customFormat="1" x14ac:dyDescent="0.2">
      <c r="B76" s="233"/>
    </row>
    <row r="77" spans="2:2" s="159" customFormat="1" x14ac:dyDescent="0.2">
      <c r="B77" s="233"/>
    </row>
    <row r="78" spans="2:2" s="159" customFormat="1" x14ac:dyDescent="0.2">
      <c r="B78" s="233"/>
    </row>
    <row r="79" spans="2:2" s="159" customFormat="1" x14ac:dyDescent="0.2">
      <c r="B79" s="233"/>
    </row>
    <row r="80" spans="2:2" s="159" customFormat="1" x14ac:dyDescent="0.2">
      <c r="B80" s="233"/>
    </row>
  </sheetData>
  <hyperlinks>
    <hyperlink ref="B5" r:id="rId1"/>
    <hyperlink ref="B31" r:id="rId2"/>
  </hyperlinks>
  <pageMargins left="0.7" right="0.7" top="0.75" bottom="0.75" header="0.3" footer="0.3"/>
  <pageSetup scale="81"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3"/>
  <sheetViews>
    <sheetView zoomScaleNormal="100" workbookViewId="0">
      <selection activeCell="M19" sqref="I11:M19"/>
    </sheetView>
  </sheetViews>
  <sheetFormatPr defaultColWidth="8.7109375" defaultRowHeight="12.75" x14ac:dyDescent="0.2"/>
  <cols>
    <col min="1" max="2" width="3.140625" style="159" customWidth="1"/>
    <col min="3" max="3" width="18" style="159" customWidth="1"/>
    <col min="4" max="5" width="8.7109375" style="162" customWidth="1"/>
    <col min="6" max="14" width="8.7109375" style="159" customWidth="1"/>
    <col min="15" max="15" width="7.85546875" style="159" customWidth="1"/>
    <col min="16" max="17" width="8.7109375" style="159" customWidth="1"/>
    <col min="18" max="18" width="11.140625" style="159" customWidth="1"/>
    <col min="19" max="19" width="13.28515625" style="159" customWidth="1"/>
    <col min="20" max="22" width="8.7109375" style="159" customWidth="1"/>
    <col min="23" max="16384" width="8.7109375" style="159"/>
  </cols>
  <sheetData>
    <row r="1" spans="2:14" ht="15" customHeight="1" x14ac:dyDescent="0.2"/>
    <row r="2" spans="2:14" ht="23.25" customHeight="1" x14ac:dyDescent="0.2">
      <c r="B2" s="163"/>
      <c r="C2" s="181" t="s">
        <v>192</v>
      </c>
      <c r="D2" s="180"/>
      <c r="E2" s="180"/>
      <c r="F2" s="180"/>
      <c r="G2" s="180"/>
      <c r="H2" s="180"/>
      <c r="I2" s="180"/>
      <c r="J2" s="180"/>
      <c r="K2" s="180"/>
      <c r="L2" s="180"/>
      <c r="M2" s="163"/>
      <c r="N2" s="163"/>
    </row>
    <row r="3" spans="2:14" x14ac:dyDescent="0.2">
      <c r="C3" s="164"/>
    </row>
    <row r="4" spans="2:14" x14ac:dyDescent="0.2">
      <c r="C4" s="164"/>
      <c r="D4" s="165" t="s">
        <v>145</v>
      </c>
    </row>
    <row r="5" spans="2:14" x14ac:dyDescent="0.2">
      <c r="C5" s="164"/>
      <c r="D5" s="165" t="s">
        <v>146</v>
      </c>
    </row>
    <row r="6" spans="2:14" x14ac:dyDescent="0.2">
      <c r="C6" s="166" t="s">
        <v>147</v>
      </c>
      <c r="D6" s="165" t="s">
        <v>148</v>
      </c>
    </row>
    <row r="7" spans="2:14" ht="15.75" x14ac:dyDescent="0.25">
      <c r="C7" s="167" t="s">
        <v>135</v>
      </c>
      <c r="D7" s="168" t="e">
        <f>#REF!</f>
        <v>#REF!</v>
      </c>
      <c r="E7" s="162" t="e">
        <f>+D7/104</f>
        <v>#REF!</v>
      </c>
      <c r="M7" s="169"/>
      <c r="N7" s="170"/>
    </row>
    <row r="8" spans="2:14" x14ac:dyDescent="0.2">
      <c r="C8" s="171" t="s">
        <v>136</v>
      </c>
      <c r="D8" s="168" t="e">
        <f>#REF!</f>
        <v>#REF!</v>
      </c>
      <c r="E8" s="162" t="e">
        <f t="shared" ref="E8:E14" si="0">+D8/104</f>
        <v>#REF!</v>
      </c>
      <c r="M8" s="167"/>
      <c r="N8" s="172"/>
    </row>
    <row r="9" spans="2:14" x14ac:dyDescent="0.2">
      <c r="C9" s="171" t="s">
        <v>181</v>
      </c>
      <c r="D9" s="168" t="e">
        <f>#REF!</f>
        <v>#REF!</v>
      </c>
      <c r="E9" s="162" t="e">
        <f t="shared" si="0"/>
        <v>#REF!</v>
      </c>
      <c r="M9" s="171"/>
      <c r="N9" s="172"/>
    </row>
    <row r="10" spans="2:14" x14ac:dyDescent="0.2">
      <c r="C10" s="171" t="s">
        <v>183</v>
      </c>
      <c r="D10" s="168" t="e">
        <f>#REF!</f>
        <v>#REF!</v>
      </c>
      <c r="E10" s="162" t="e">
        <f t="shared" si="0"/>
        <v>#REF!</v>
      </c>
      <c r="M10" s="171"/>
      <c r="N10" s="172"/>
    </row>
    <row r="11" spans="2:14" x14ac:dyDescent="0.2">
      <c r="C11" s="171" t="s">
        <v>137</v>
      </c>
      <c r="D11" s="168" t="e">
        <f>#REF!</f>
        <v>#REF!</v>
      </c>
      <c r="E11" s="162" t="e">
        <f t="shared" si="0"/>
        <v>#REF!</v>
      </c>
      <c r="I11" s="173" t="s">
        <v>182</v>
      </c>
      <c r="M11" s="174" t="s">
        <v>170</v>
      </c>
      <c r="N11" s="172"/>
    </row>
    <row r="12" spans="2:14" x14ac:dyDescent="0.2">
      <c r="C12" s="171" t="s">
        <v>138</v>
      </c>
      <c r="D12" s="168" t="e">
        <f>#REF!</f>
        <v>#REF!</v>
      </c>
      <c r="E12" s="162" t="e">
        <f t="shared" si="0"/>
        <v>#REF!</v>
      </c>
      <c r="I12" s="175" t="s">
        <v>149</v>
      </c>
      <c r="M12" s="176" t="e">
        <f>#REF!</f>
        <v>#REF!</v>
      </c>
      <c r="N12" s="172"/>
    </row>
    <row r="13" spans="2:14" x14ac:dyDescent="0.2">
      <c r="C13" s="171" t="s">
        <v>139</v>
      </c>
      <c r="D13" s="168" t="e">
        <f>#REF!</f>
        <v>#REF!</v>
      </c>
      <c r="E13" s="162" t="e">
        <f t="shared" si="0"/>
        <v>#REF!</v>
      </c>
      <c r="I13" s="173" t="s">
        <v>116</v>
      </c>
      <c r="M13" s="176" t="e">
        <f>#REF!</f>
        <v>#REF!</v>
      </c>
      <c r="N13" s="172"/>
    </row>
    <row r="14" spans="2:14" x14ac:dyDescent="0.2">
      <c r="C14" s="171" t="s">
        <v>180</v>
      </c>
      <c r="D14" s="168" t="e">
        <f>#REF!</f>
        <v>#REF!</v>
      </c>
      <c r="E14" s="162" t="e">
        <f t="shared" si="0"/>
        <v>#REF!</v>
      </c>
      <c r="I14" s="173" t="s">
        <v>134</v>
      </c>
      <c r="M14" s="176" t="e">
        <f>#REF!</f>
        <v>#REF!</v>
      </c>
      <c r="N14" s="172"/>
    </row>
    <row r="15" spans="2:14" x14ac:dyDescent="0.2">
      <c r="C15" s="177"/>
      <c r="D15" s="168"/>
      <c r="I15" s="173" t="s">
        <v>85</v>
      </c>
      <c r="M15" s="176" t="e">
        <f>#REF!</f>
        <v>#REF!</v>
      </c>
      <c r="N15" s="172"/>
    </row>
    <row r="16" spans="2:14" x14ac:dyDescent="0.2">
      <c r="C16" s="161"/>
      <c r="D16" s="168"/>
      <c r="I16" s="173" t="s">
        <v>86</v>
      </c>
      <c r="M16" s="176" t="e">
        <f>#REF!</f>
        <v>#REF!</v>
      </c>
      <c r="N16" s="172"/>
    </row>
    <row r="17" spans="3:13" x14ac:dyDescent="0.2">
      <c r="C17" s="161"/>
      <c r="D17" s="168"/>
      <c r="I17" s="173" t="s">
        <v>87</v>
      </c>
      <c r="M17" s="176" t="e">
        <f>#REF!</f>
        <v>#REF!</v>
      </c>
    </row>
    <row r="18" spans="3:13" x14ac:dyDescent="0.2">
      <c r="C18" s="161"/>
      <c r="D18" s="168"/>
      <c r="I18" s="173" t="s">
        <v>88</v>
      </c>
      <c r="M18" s="176" t="e">
        <f>#REF!</f>
        <v>#REF!</v>
      </c>
    </row>
    <row r="19" spans="3:13" x14ac:dyDescent="0.2">
      <c r="C19" s="161"/>
      <c r="D19" s="168"/>
      <c r="I19" s="173" t="s">
        <v>89</v>
      </c>
      <c r="M19" s="176" t="e">
        <f>#REF!</f>
        <v>#REF!</v>
      </c>
    </row>
    <row r="20" spans="3:13" x14ac:dyDescent="0.2">
      <c r="C20" s="161"/>
      <c r="D20" s="168"/>
      <c r="I20" s="178"/>
      <c r="M20" s="176"/>
    </row>
    <row r="21" spans="3:13" x14ac:dyDescent="0.2">
      <c r="C21" s="161"/>
      <c r="D21" s="168"/>
    </row>
    <row r="22" spans="3:13" x14ac:dyDescent="0.2">
      <c r="C22" s="161"/>
      <c r="D22" s="168"/>
    </row>
    <row r="23" spans="3:13" x14ac:dyDescent="0.2">
      <c r="C23" s="161"/>
      <c r="D23" s="168"/>
    </row>
    <row r="24" spans="3:13" x14ac:dyDescent="0.2">
      <c r="C24" s="161"/>
      <c r="D24" s="168"/>
    </row>
    <row r="25" spans="3:13" x14ac:dyDescent="0.2">
      <c r="C25" s="161"/>
      <c r="D25" s="168"/>
    </row>
    <row r="26" spans="3:13" x14ac:dyDescent="0.2">
      <c r="C26" s="161"/>
      <c r="D26" s="179" t="s">
        <v>145</v>
      </c>
    </row>
    <row r="27" spans="3:13" x14ac:dyDescent="0.2">
      <c r="C27" s="161"/>
      <c r="D27" s="179" t="s">
        <v>146</v>
      </c>
    </row>
    <row r="28" spans="3:13" x14ac:dyDescent="0.2">
      <c r="C28" s="166" t="s">
        <v>90</v>
      </c>
      <c r="D28" s="179" t="s">
        <v>148</v>
      </c>
    </row>
    <row r="29" spans="3:13" x14ac:dyDescent="0.2">
      <c r="C29" s="159" t="s">
        <v>91</v>
      </c>
      <c r="D29" s="168" t="e">
        <f>#REF!</f>
        <v>#REF!</v>
      </c>
    </row>
    <row r="30" spans="3:13" x14ac:dyDescent="0.2">
      <c r="C30" s="159" t="s">
        <v>184</v>
      </c>
      <c r="D30" s="168" t="e">
        <f>#REF!</f>
        <v>#REF!</v>
      </c>
    </row>
    <row r="31" spans="3:13" x14ac:dyDescent="0.2">
      <c r="C31" s="159" t="s">
        <v>92</v>
      </c>
      <c r="D31" s="168" t="e">
        <f>#REF!</f>
        <v>#REF!</v>
      </c>
    </row>
    <row r="32" spans="3:13" x14ac:dyDescent="0.2">
      <c r="C32" s="159" t="s">
        <v>93</v>
      </c>
      <c r="D32" s="168" t="e">
        <f>#REF!</f>
        <v>#REF!</v>
      </c>
    </row>
    <row r="33" spans="3:4" x14ac:dyDescent="0.2">
      <c r="C33" s="159" t="s">
        <v>185</v>
      </c>
      <c r="D33" s="168" t="e">
        <f>#REF!</f>
        <v>#REF!</v>
      </c>
    </row>
    <row r="34" spans="3:4" x14ac:dyDescent="0.2">
      <c r="C34" s="159" t="s">
        <v>94</v>
      </c>
      <c r="D34" s="168" t="e">
        <f>#REF!</f>
        <v>#REF!</v>
      </c>
    </row>
    <row r="35" spans="3:4" x14ac:dyDescent="0.2">
      <c r="C35" s="159" t="s">
        <v>95</v>
      </c>
      <c r="D35" s="168" t="e">
        <f>#REF!</f>
        <v>#REF!</v>
      </c>
    </row>
    <row r="36" spans="3:4" x14ac:dyDescent="0.2">
      <c r="C36" s="159" t="s">
        <v>186</v>
      </c>
      <c r="D36" s="168" t="e">
        <f>#REF!</f>
        <v>#REF!</v>
      </c>
    </row>
    <row r="37" spans="3:4" x14ac:dyDescent="0.2">
      <c r="C37" s="159" t="s">
        <v>131</v>
      </c>
      <c r="D37" s="168" t="e">
        <f>#REF!</f>
        <v>#REF!</v>
      </c>
    </row>
    <row r="38" spans="3:4" x14ac:dyDescent="0.2">
      <c r="C38" s="159" t="s">
        <v>132</v>
      </c>
      <c r="D38" s="168" t="e">
        <f>#REF!</f>
        <v>#REF!</v>
      </c>
    </row>
    <row r="39" spans="3:4" x14ac:dyDescent="0.2">
      <c r="C39" s="159" t="s">
        <v>187</v>
      </c>
      <c r="D39" s="168" t="e">
        <f>#REF!</f>
        <v>#REF!</v>
      </c>
    </row>
    <row r="40" spans="3:4" x14ac:dyDescent="0.2">
      <c r="C40" s="159" t="s">
        <v>133</v>
      </c>
      <c r="D40" s="168" t="e">
        <f>#REF!</f>
        <v>#REF!</v>
      </c>
    </row>
    <row r="41" spans="3:4" x14ac:dyDescent="0.2">
      <c r="C41" s="160" t="s">
        <v>132</v>
      </c>
      <c r="D41" s="168" t="e">
        <f>#REF!</f>
        <v>#REF!</v>
      </c>
    </row>
    <row r="42" spans="3:4" x14ac:dyDescent="0.2">
      <c r="C42" s="160" t="s">
        <v>187</v>
      </c>
      <c r="D42" s="168" t="e">
        <f>#REF!</f>
        <v>#REF!</v>
      </c>
    </row>
    <row r="43" spans="3:4" x14ac:dyDescent="0.2">
      <c r="C43" s="160" t="s">
        <v>133</v>
      </c>
      <c r="D43" s="168" t="e">
        <f>#REF!</f>
        <v>#REF!</v>
      </c>
    </row>
  </sheetData>
  <phoneticPr fontId="5" type="noConversion"/>
  <printOptions horizontalCentered="1"/>
  <pageMargins left="0.25" right="0.25" top="0.75" bottom="0.75" header="0.3" footer="0.3"/>
  <pageSetup fitToHeight="2" orientation="landscape" horizontalDpi="4294967292" verticalDpi="4294967292" r:id="rId1"/>
  <headerFooter alignWithMargins="0">
    <oddFooter>&amp;L&amp;A&amp;C&amp;F&amp;R&amp;D</oddFooter>
  </headerFooter>
  <rowBreaks count="1" manualBreakCount="1">
    <brk id="22"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zoomScaleNormal="100" workbookViewId="0">
      <selection activeCell="E41" sqref="E41"/>
    </sheetView>
  </sheetViews>
  <sheetFormatPr defaultColWidth="11.42578125" defaultRowHeight="12.75" x14ac:dyDescent="0.2"/>
  <cols>
    <col min="1" max="1" width="3.140625" style="34" customWidth="1"/>
    <col min="2" max="2" width="11" customWidth="1"/>
    <col min="3" max="3" width="20.140625" customWidth="1"/>
    <col min="4" max="4" width="27.140625" customWidth="1"/>
    <col min="5" max="5" width="36.7109375" customWidth="1"/>
    <col min="6" max="11" width="11.42578125" style="34" customWidth="1"/>
  </cols>
  <sheetData>
    <row r="1" spans="1:11" ht="15" customHeight="1" x14ac:dyDescent="0.2">
      <c r="B1" s="34"/>
      <c r="C1" s="34"/>
      <c r="D1" s="34"/>
      <c r="E1" s="34"/>
    </row>
    <row r="2" spans="1:11" ht="30" customHeight="1" x14ac:dyDescent="0.25">
      <c r="B2" s="397" t="s">
        <v>343</v>
      </c>
      <c r="C2" s="398"/>
      <c r="D2" s="398"/>
      <c r="E2" s="398"/>
    </row>
    <row r="3" spans="1:11" ht="6" customHeight="1" x14ac:dyDescent="0.25">
      <c r="B3" s="143"/>
      <c r="C3" s="142"/>
      <c r="D3" s="142"/>
      <c r="E3" s="142"/>
    </row>
    <row r="4" spans="1:11" ht="33" customHeight="1" x14ac:dyDescent="0.2">
      <c r="A4" s="250"/>
      <c r="B4" s="144" t="s">
        <v>176</v>
      </c>
      <c r="C4" s="144" t="s">
        <v>177</v>
      </c>
      <c r="D4" s="144" t="s">
        <v>178</v>
      </c>
      <c r="E4" s="144" t="s">
        <v>179</v>
      </c>
      <c r="F4" s="250"/>
      <c r="G4" s="250"/>
      <c r="H4" s="250"/>
      <c r="I4" s="250"/>
      <c r="J4" s="250"/>
      <c r="K4" s="250"/>
    </row>
    <row r="5" spans="1:11" x14ac:dyDescent="0.2">
      <c r="A5" s="250"/>
      <c r="B5" s="32"/>
      <c r="C5" s="32"/>
      <c r="D5" s="32"/>
      <c r="E5" s="32"/>
      <c r="F5" s="250"/>
      <c r="G5" s="250"/>
      <c r="H5" s="250"/>
      <c r="I5" s="250"/>
      <c r="J5" s="250"/>
      <c r="K5" s="250"/>
    </row>
    <row r="6" spans="1:11" x14ac:dyDescent="0.2">
      <c r="A6" s="250"/>
      <c r="B6" s="75" t="s">
        <v>244</v>
      </c>
      <c r="C6" s="75" t="s">
        <v>155</v>
      </c>
      <c r="D6" s="75" t="s">
        <v>268</v>
      </c>
      <c r="E6" s="5"/>
      <c r="F6" s="250"/>
      <c r="G6" s="250"/>
      <c r="H6" s="250"/>
      <c r="I6" s="250"/>
      <c r="J6" s="250"/>
      <c r="K6" s="250"/>
    </row>
    <row r="7" spans="1:11" x14ac:dyDescent="0.2">
      <c r="A7" s="250"/>
      <c r="B7" s="30"/>
      <c r="C7" s="30"/>
      <c r="D7" s="30"/>
      <c r="E7" s="30"/>
      <c r="F7" s="250"/>
      <c r="G7" s="250"/>
      <c r="H7" s="250"/>
      <c r="I7" s="250"/>
      <c r="J7" s="250"/>
      <c r="K7" s="250"/>
    </row>
    <row r="8" spans="1:11" x14ac:dyDescent="0.2">
      <c r="A8" s="250"/>
      <c r="B8" s="31" t="s">
        <v>99</v>
      </c>
      <c r="C8" s="220" t="s">
        <v>221</v>
      </c>
      <c r="D8" s="277" t="s">
        <v>344</v>
      </c>
      <c r="E8" s="31"/>
      <c r="F8" s="250"/>
      <c r="G8" s="250"/>
      <c r="H8" s="250"/>
      <c r="I8" s="250"/>
      <c r="J8" s="250"/>
      <c r="K8" s="250"/>
    </row>
    <row r="9" spans="1:11" x14ac:dyDescent="0.2">
      <c r="A9" s="250"/>
      <c r="B9" s="32"/>
      <c r="C9" s="32"/>
      <c r="D9" s="32"/>
      <c r="E9" s="32"/>
      <c r="F9" s="250"/>
      <c r="G9" s="250"/>
      <c r="H9" s="250"/>
      <c r="I9" s="250"/>
      <c r="J9" s="250"/>
      <c r="K9" s="250"/>
    </row>
    <row r="10" spans="1:11" x14ac:dyDescent="0.2">
      <c r="A10" s="250"/>
      <c r="B10" s="5" t="s">
        <v>99</v>
      </c>
      <c r="C10" s="75" t="s">
        <v>245</v>
      </c>
      <c r="D10" s="75" t="s">
        <v>345</v>
      </c>
      <c r="E10" s="75" t="s">
        <v>362</v>
      </c>
      <c r="F10" s="250"/>
      <c r="G10" s="250"/>
      <c r="H10" s="250"/>
      <c r="I10" s="250"/>
      <c r="J10" s="250"/>
      <c r="K10" s="250"/>
    </row>
    <row r="11" spans="1:11" x14ac:dyDescent="0.2">
      <c r="A11" s="250"/>
      <c r="B11" s="60"/>
      <c r="C11" s="60"/>
      <c r="D11" s="30"/>
      <c r="E11" s="60"/>
      <c r="F11" s="250"/>
      <c r="G11" s="250"/>
      <c r="H11" s="250"/>
      <c r="I11" s="250"/>
      <c r="J11" s="250"/>
      <c r="K11" s="250"/>
    </row>
    <row r="12" spans="1:11" x14ac:dyDescent="0.2">
      <c r="A12" s="250"/>
      <c r="B12" s="60" t="s">
        <v>99</v>
      </c>
      <c r="C12" s="220" t="s">
        <v>221</v>
      </c>
      <c r="D12" s="277" t="s">
        <v>344</v>
      </c>
      <c r="E12" s="60"/>
      <c r="F12" s="250"/>
      <c r="G12" s="250"/>
      <c r="H12" s="250"/>
      <c r="I12" s="250"/>
      <c r="J12" s="250"/>
      <c r="K12" s="250"/>
    </row>
    <row r="13" spans="1:11" x14ac:dyDescent="0.2">
      <c r="A13" s="250"/>
      <c r="B13" s="32"/>
      <c r="C13" s="32"/>
      <c r="D13" s="32"/>
      <c r="E13" s="32"/>
      <c r="F13" s="250"/>
      <c r="G13" s="250"/>
      <c r="H13" s="250"/>
      <c r="I13" s="250"/>
      <c r="J13" s="250"/>
      <c r="K13" s="250"/>
    </row>
    <row r="14" spans="1:11" x14ac:dyDescent="0.2">
      <c r="A14" s="250"/>
      <c r="B14" s="5" t="s">
        <v>171</v>
      </c>
      <c r="C14" s="75" t="s">
        <v>169</v>
      </c>
      <c r="D14" s="75" t="s">
        <v>346</v>
      </c>
      <c r="E14" s="5"/>
      <c r="F14" s="250"/>
      <c r="G14" s="250"/>
      <c r="H14" s="250"/>
      <c r="I14" s="250"/>
      <c r="J14" s="250"/>
      <c r="K14" s="250"/>
    </row>
    <row r="15" spans="1:11" x14ac:dyDescent="0.2">
      <c r="A15" s="250"/>
      <c r="B15" s="30"/>
      <c r="C15" s="30"/>
      <c r="D15" s="30"/>
      <c r="E15" s="362"/>
      <c r="F15" s="250"/>
      <c r="G15" s="250"/>
      <c r="H15" s="250"/>
      <c r="I15" s="250"/>
      <c r="J15" s="250"/>
      <c r="K15" s="250"/>
    </row>
    <row r="16" spans="1:11" x14ac:dyDescent="0.2">
      <c r="A16" s="250"/>
      <c r="B16" s="31" t="s">
        <v>171</v>
      </c>
      <c r="C16" s="220" t="s">
        <v>348</v>
      </c>
      <c r="D16" s="220" t="s">
        <v>349</v>
      </c>
      <c r="E16" s="220"/>
      <c r="F16" s="250"/>
      <c r="G16" s="250"/>
      <c r="H16" s="250"/>
      <c r="I16" s="250"/>
      <c r="J16" s="250"/>
      <c r="K16" s="250"/>
    </row>
    <row r="17" spans="1:11" x14ac:dyDescent="0.2">
      <c r="A17" s="250"/>
      <c r="B17" s="32"/>
      <c r="C17" s="32"/>
      <c r="D17" s="32"/>
      <c r="E17" s="32" t="s">
        <v>347</v>
      </c>
      <c r="F17" s="250"/>
      <c r="G17" s="250"/>
      <c r="H17" s="250"/>
      <c r="I17" s="250"/>
      <c r="J17" s="250"/>
      <c r="K17" s="250"/>
    </row>
    <row r="18" spans="1:11" ht="12" customHeight="1" x14ac:dyDescent="0.2">
      <c r="A18" s="250"/>
      <c r="B18" s="5" t="s">
        <v>171</v>
      </c>
      <c r="C18" s="75" t="s">
        <v>246</v>
      </c>
      <c r="D18" s="5"/>
      <c r="E18" s="5" t="s">
        <v>350</v>
      </c>
      <c r="F18" s="250"/>
      <c r="G18" s="250"/>
      <c r="H18" s="250"/>
      <c r="I18" s="250"/>
      <c r="J18" s="250"/>
      <c r="K18" s="250"/>
    </row>
    <row r="19" spans="1:11" x14ac:dyDescent="0.2">
      <c r="A19" s="250"/>
      <c r="B19" s="30"/>
      <c r="C19" s="30"/>
      <c r="D19" s="30"/>
      <c r="E19" s="60"/>
      <c r="F19" s="250"/>
      <c r="G19" s="250"/>
      <c r="H19" s="250"/>
      <c r="I19" s="250"/>
      <c r="J19" s="250"/>
      <c r="K19" s="250"/>
    </row>
    <row r="20" spans="1:11" x14ac:dyDescent="0.2">
      <c r="A20" s="250"/>
      <c r="B20" s="220" t="s">
        <v>391</v>
      </c>
      <c r="C20" s="220" t="s">
        <v>351</v>
      </c>
      <c r="D20" s="31" t="s">
        <v>352</v>
      </c>
      <c r="E20" s="220" t="s">
        <v>353</v>
      </c>
      <c r="F20" s="250"/>
      <c r="G20" s="250"/>
      <c r="H20" s="250"/>
      <c r="I20" s="250"/>
      <c r="J20" s="250"/>
      <c r="K20" s="250"/>
    </row>
    <row r="21" spans="1:11" x14ac:dyDescent="0.2">
      <c r="B21" s="34"/>
      <c r="C21" s="34"/>
      <c r="D21" s="34"/>
      <c r="E21" s="34"/>
    </row>
    <row r="22" spans="1:11" x14ac:dyDescent="0.2">
      <c r="B22" s="34"/>
      <c r="C22" s="34"/>
      <c r="D22" s="34"/>
      <c r="E22" s="34"/>
    </row>
    <row r="23" spans="1:11" x14ac:dyDescent="0.2">
      <c r="B23" s="34"/>
      <c r="C23" s="34"/>
      <c r="D23" s="34"/>
      <c r="E23" s="34"/>
    </row>
    <row r="24" spans="1:11" x14ac:dyDescent="0.2">
      <c r="B24" s="34"/>
      <c r="C24" s="34"/>
      <c r="D24" s="34"/>
      <c r="E24" s="34"/>
    </row>
    <row r="25" spans="1:11" x14ac:dyDescent="0.2">
      <c r="B25" s="34"/>
      <c r="C25" s="34"/>
      <c r="D25" s="34"/>
      <c r="E25" s="34"/>
    </row>
    <row r="26" spans="1:11" x14ac:dyDescent="0.2">
      <c r="B26" s="34"/>
      <c r="C26" s="34"/>
      <c r="D26" s="34"/>
      <c r="E26" s="34"/>
    </row>
    <row r="27" spans="1:11" x14ac:dyDescent="0.2">
      <c r="B27" s="34"/>
      <c r="C27" s="34"/>
      <c r="D27" s="34"/>
      <c r="E27" s="34"/>
    </row>
    <row r="28" spans="1:11" x14ac:dyDescent="0.2">
      <c r="B28" s="34"/>
      <c r="C28" s="34"/>
      <c r="D28" s="34"/>
      <c r="E28" s="34"/>
    </row>
    <row r="29" spans="1:11" x14ac:dyDescent="0.2">
      <c r="B29" s="34"/>
      <c r="C29" s="34"/>
      <c r="D29" s="34"/>
      <c r="E29" s="34"/>
    </row>
    <row r="30" spans="1:11" x14ac:dyDescent="0.2">
      <c r="B30" s="34"/>
      <c r="C30" s="34"/>
      <c r="D30" s="34"/>
      <c r="E30" s="34"/>
    </row>
    <row r="31" spans="1:11" x14ac:dyDescent="0.2">
      <c r="B31" s="34"/>
      <c r="C31" s="34"/>
      <c r="D31" s="34"/>
      <c r="E31" s="34"/>
    </row>
    <row r="32" spans="1:11" x14ac:dyDescent="0.2">
      <c r="B32" s="34"/>
      <c r="C32" s="34"/>
      <c r="D32" s="34"/>
      <c r="E32" s="34"/>
    </row>
    <row r="33" spans="2:5" x14ac:dyDescent="0.2">
      <c r="B33" s="34"/>
      <c r="C33" s="34"/>
      <c r="D33" s="34"/>
      <c r="E33" s="34"/>
    </row>
    <row r="34" spans="2:5" x14ac:dyDescent="0.2">
      <c r="B34" s="34"/>
      <c r="C34" s="34"/>
      <c r="D34" s="34"/>
      <c r="E34" s="34"/>
    </row>
    <row r="35" spans="2:5" x14ac:dyDescent="0.2">
      <c r="B35" s="34"/>
      <c r="C35" s="34"/>
      <c r="D35" s="34"/>
      <c r="E35" s="34"/>
    </row>
    <row r="36" spans="2:5" x14ac:dyDescent="0.2">
      <c r="B36" s="34"/>
      <c r="C36" s="34"/>
      <c r="D36" s="34"/>
      <c r="E36" s="34"/>
    </row>
    <row r="37" spans="2:5" x14ac:dyDescent="0.2">
      <c r="B37" s="34"/>
      <c r="C37" s="34"/>
      <c r="D37" s="34"/>
      <c r="E37" s="34"/>
    </row>
    <row r="38" spans="2:5" x14ac:dyDescent="0.2">
      <c r="B38" s="34"/>
      <c r="C38" s="34"/>
      <c r="D38" s="34"/>
      <c r="E38" s="34"/>
    </row>
    <row r="39" spans="2:5" x14ac:dyDescent="0.2">
      <c r="B39" s="34"/>
      <c r="C39" s="34"/>
      <c r="D39" s="34"/>
      <c r="E39" s="34"/>
    </row>
    <row r="40" spans="2:5" x14ac:dyDescent="0.2">
      <c r="B40" s="34"/>
      <c r="C40" s="34"/>
      <c r="D40" s="34"/>
      <c r="E40" s="34"/>
    </row>
    <row r="41" spans="2:5" x14ac:dyDescent="0.2">
      <c r="B41" s="34"/>
      <c r="C41" s="34"/>
      <c r="D41" s="34"/>
      <c r="E41" s="34"/>
    </row>
    <row r="42" spans="2:5" x14ac:dyDescent="0.2">
      <c r="B42" s="34"/>
      <c r="C42" s="34"/>
      <c r="D42" s="34"/>
      <c r="E42" s="34"/>
    </row>
    <row r="43" spans="2:5" x14ac:dyDescent="0.2">
      <c r="B43" s="34"/>
      <c r="C43" s="34"/>
      <c r="D43" s="34"/>
      <c r="E43" s="34"/>
    </row>
  </sheetData>
  <mergeCells count="1">
    <mergeCell ref="B2:E2"/>
  </mergeCells>
  <phoneticPr fontId="5" type="noConversion"/>
  <printOptions horizontalCentered="1"/>
  <pageMargins left="0.75" right="0.75" top="1" bottom="1" header="0" footer="0.5"/>
  <pageSetup scale="95" orientation="portrait" r:id="rId1"/>
  <headerFooter alignWithMargins="0">
    <oddFooter>&amp;L&amp;A&amp;C&amp;F&amp;R&amp;D</oddFooter>
  </headerFooter>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1"/>
  <sheetViews>
    <sheetView topLeftCell="A8" zoomScaleNormal="100" workbookViewId="0">
      <selection activeCell="B9" sqref="B9"/>
    </sheetView>
  </sheetViews>
  <sheetFormatPr defaultColWidth="8.7109375" defaultRowHeight="12.75" x14ac:dyDescent="0.2"/>
  <cols>
    <col min="1" max="1" width="3.140625" style="34" customWidth="1"/>
    <col min="2" max="2" width="28" customWidth="1"/>
    <col min="3" max="3" width="2.42578125" customWidth="1"/>
    <col min="4" max="4" width="12" style="53" customWidth="1"/>
    <col min="5" max="5" width="2.42578125" customWidth="1"/>
    <col min="6" max="6" width="11" style="19" customWidth="1"/>
    <col min="7" max="7" width="2.42578125" customWidth="1"/>
    <col min="8" max="8" width="10.7109375" style="53" customWidth="1"/>
    <col min="9" max="9" width="2.42578125" customWidth="1"/>
    <col min="10" max="10" width="20.7109375" style="29" customWidth="1"/>
    <col min="11" max="11" width="3.28515625" hidden="1" customWidth="1"/>
    <col min="12" max="33" width="8.7109375" style="34" customWidth="1"/>
  </cols>
  <sheetData>
    <row r="1" spans="1:33" s="34" customFormat="1" x14ac:dyDescent="0.2">
      <c r="D1" s="51"/>
      <c r="F1" s="35"/>
      <c r="H1" s="51"/>
    </row>
    <row r="2" spans="1:33" s="34" customFormat="1" ht="18" customHeight="1" x14ac:dyDescent="0.2">
      <c r="B2" s="294" t="s">
        <v>28</v>
      </c>
      <c r="C2" s="295"/>
      <c r="D2" s="296"/>
      <c r="E2" s="297"/>
      <c r="F2" s="250"/>
      <c r="G2" s="250"/>
      <c r="H2" s="250"/>
      <c r="I2" s="250"/>
      <c r="J2" s="250"/>
      <c r="K2" s="250"/>
      <c r="L2" s="250"/>
      <c r="M2" s="250"/>
    </row>
    <row r="3" spans="1:33" s="34" customFormat="1" x14ac:dyDescent="0.2">
      <c r="B3" s="298" t="s">
        <v>290</v>
      </c>
      <c r="C3" s="299"/>
      <c r="D3" s="300"/>
      <c r="E3" s="301"/>
      <c r="F3" s="250"/>
      <c r="G3" s="250"/>
      <c r="H3" s="250"/>
      <c r="I3" s="250"/>
      <c r="J3" s="250"/>
      <c r="K3" s="250"/>
      <c r="L3" s="250"/>
      <c r="M3" s="250"/>
    </row>
    <row r="4" spans="1:33" s="34" customFormat="1" x14ac:dyDescent="0.2">
      <c r="B4" s="302" t="s">
        <v>291</v>
      </c>
      <c r="C4" s="302"/>
      <c r="D4" s="302"/>
      <c r="E4" s="302"/>
      <c r="F4" s="250"/>
      <c r="G4" s="250"/>
      <c r="H4" s="250"/>
      <c r="I4" s="250"/>
      <c r="J4" s="250"/>
      <c r="K4" s="250"/>
      <c r="L4" s="250"/>
      <c r="M4" s="250"/>
    </row>
    <row r="5" spans="1:33" s="34" customFormat="1" x14ac:dyDescent="0.2">
      <c r="B5" s="303" t="s">
        <v>5</v>
      </c>
      <c r="C5" s="304"/>
      <c r="D5" s="305"/>
      <c r="E5" s="306"/>
      <c r="F5" s="250"/>
      <c r="G5" s="250"/>
      <c r="H5" s="250"/>
      <c r="I5" s="250"/>
      <c r="J5" s="250"/>
      <c r="K5" s="250"/>
      <c r="L5" s="250"/>
      <c r="M5" s="250"/>
    </row>
    <row r="6" spans="1:33" s="34" customFormat="1" x14ac:dyDescent="0.2">
      <c r="B6" s="307" t="s">
        <v>6</v>
      </c>
      <c r="C6" s="295"/>
      <c r="D6" s="296"/>
      <c r="E6" s="297"/>
      <c r="F6" s="250"/>
      <c r="G6" s="250"/>
      <c r="H6" s="250"/>
      <c r="I6" s="250"/>
      <c r="J6" s="250"/>
      <c r="K6" s="250"/>
      <c r="L6" s="250"/>
      <c r="M6" s="250"/>
    </row>
    <row r="7" spans="1:33" s="34" customFormat="1" ht="9" customHeight="1" x14ac:dyDescent="0.2">
      <c r="D7" s="51"/>
      <c r="F7" s="35"/>
      <c r="H7" s="51"/>
    </row>
    <row r="8" spans="1:33" s="77" customFormat="1" ht="31.5" customHeight="1" x14ac:dyDescent="0.25">
      <c r="A8" s="76"/>
      <c r="B8" s="401" t="s">
        <v>392</v>
      </c>
      <c r="C8" s="402"/>
      <c r="D8" s="402"/>
      <c r="E8" s="402"/>
      <c r="F8" s="402"/>
      <c r="G8" s="402"/>
      <c r="H8" s="402"/>
      <c r="I8" s="402"/>
      <c r="J8" s="402"/>
      <c r="K8" s="42"/>
      <c r="L8" s="76"/>
      <c r="M8" s="76"/>
      <c r="N8" s="76"/>
      <c r="O8" s="76"/>
      <c r="P8" s="76"/>
      <c r="Q8" s="76"/>
      <c r="R8" s="76"/>
      <c r="S8" s="76"/>
      <c r="T8" s="76"/>
      <c r="U8" s="76"/>
      <c r="V8" s="76"/>
      <c r="W8" s="76"/>
      <c r="X8" s="76"/>
      <c r="Y8" s="76"/>
      <c r="Z8" s="76"/>
      <c r="AA8" s="76"/>
      <c r="AB8" s="76"/>
      <c r="AC8" s="76"/>
      <c r="AD8" s="76"/>
      <c r="AE8" s="76"/>
      <c r="AF8" s="76"/>
      <c r="AG8" s="76"/>
    </row>
    <row r="9" spans="1:33" s="74" customFormat="1" ht="3.75" customHeight="1" x14ac:dyDescent="0.2">
      <c r="A9" s="71"/>
      <c r="B9" s="139"/>
      <c r="C9" s="139"/>
      <c r="D9" s="140"/>
      <c r="E9" s="139"/>
      <c r="F9" s="141"/>
      <c r="G9" s="139"/>
      <c r="H9" s="140"/>
      <c r="I9" s="139"/>
      <c r="J9" s="139"/>
      <c r="K9" s="73"/>
      <c r="L9" s="71"/>
      <c r="M9" s="71"/>
      <c r="N9" s="71"/>
      <c r="O9" s="71"/>
      <c r="P9" s="71"/>
      <c r="Q9" s="71"/>
      <c r="R9" s="71"/>
      <c r="S9" s="71"/>
      <c r="T9" s="71"/>
      <c r="U9" s="71"/>
      <c r="V9" s="71"/>
      <c r="W9" s="71"/>
      <c r="X9" s="71"/>
      <c r="Y9" s="71"/>
      <c r="Z9" s="71"/>
      <c r="AA9" s="71"/>
      <c r="AB9" s="71"/>
      <c r="AC9" s="71"/>
      <c r="AD9" s="71"/>
      <c r="AE9" s="71"/>
      <c r="AF9" s="71"/>
      <c r="AG9" s="71"/>
    </row>
    <row r="10" spans="1:33" s="72" customFormat="1" ht="26.25" customHeight="1" x14ac:dyDescent="0.2">
      <c r="A10" s="71"/>
      <c r="B10" s="254"/>
      <c r="C10" s="254"/>
      <c r="D10" s="254" t="s">
        <v>157</v>
      </c>
      <c r="E10" s="254"/>
      <c r="F10" s="254"/>
      <c r="G10" s="254"/>
      <c r="H10" s="254" t="s">
        <v>158</v>
      </c>
      <c r="I10" s="254"/>
      <c r="J10" s="259" t="s">
        <v>159</v>
      </c>
      <c r="K10" s="237"/>
      <c r="L10" s="237"/>
      <c r="M10" s="71"/>
      <c r="N10" s="71"/>
      <c r="O10" s="71"/>
      <c r="P10" s="71"/>
      <c r="Q10" s="71"/>
      <c r="R10" s="71"/>
      <c r="S10" s="71"/>
      <c r="T10" s="71"/>
      <c r="U10" s="71"/>
      <c r="V10" s="71"/>
      <c r="W10" s="71"/>
      <c r="X10" s="71"/>
      <c r="Y10" s="71"/>
      <c r="Z10" s="71"/>
      <c r="AA10" s="71"/>
      <c r="AB10" s="71"/>
      <c r="AC10" s="71"/>
      <c r="AD10" s="71"/>
      <c r="AE10" s="71"/>
      <c r="AF10" s="71"/>
      <c r="AG10" s="71"/>
    </row>
    <row r="11" spans="1:33" s="72" customFormat="1" ht="14.25" customHeight="1" x14ac:dyDescent="0.2">
      <c r="A11" s="71"/>
      <c r="B11" s="255" t="s">
        <v>160</v>
      </c>
      <c r="C11" s="256"/>
      <c r="D11" s="256" t="s">
        <v>100</v>
      </c>
      <c r="E11" s="256"/>
      <c r="F11" s="257" t="s">
        <v>101</v>
      </c>
      <c r="G11" s="256"/>
      <c r="H11" s="256" t="s">
        <v>4</v>
      </c>
      <c r="I11" s="256"/>
      <c r="J11" s="260" t="s">
        <v>128</v>
      </c>
      <c r="K11" s="237"/>
      <c r="L11" s="237"/>
      <c r="M11" s="71"/>
      <c r="N11" s="71"/>
      <c r="O11" s="71"/>
      <c r="P11" s="71"/>
      <c r="Q11" s="71"/>
      <c r="R11" s="71"/>
      <c r="S11" s="71"/>
      <c r="T11" s="71"/>
      <c r="U11" s="71"/>
      <c r="V11" s="71"/>
      <c r="W11" s="71"/>
      <c r="X11" s="71"/>
      <c r="Y11" s="71"/>
      <c r="Z11" s="71"/>
      <c r="AA11" s="71"/>
      <c r="AB11" s="71"/>
      <c r="AC11" s="71"/>
      <c r="AD11" s="71"/>
      <c r="AE11" s="71"/>
      <c r="AF11" s="71"/>
      <c r="AG11" s="71"/>
    </row>
    <row r="12" spans="1:33" ht="3" customHeight="1" x14ac:dyDescent="0.2">
      <c r="A12" s="237"/>
      <c r="B12" s="258"/>
      <c r="C12" s="258"/>
      <c r="D12" s="258"/>
      <c r="E12" s="258"/>
      <c r="F12" s="258"/>
      <c r="G12" s="258"/>
      <c r="H12" s="258"/>
      <c r="I12" s="258"/>
      <c r="J12" s="261"/>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row>
    <row r="13" spans="1:33" x14ac:dyDescent="0.2">
      <c r="A13" s="250"/>
      <c r="B13" s="6" t="s">
        <v>129</v>
      </c>
      <c r="C13" s="7"/>
      <c r="D13" s="38"/>
      <c r="E13" s="7"/>
      <c r="F13" s="8"/>
      <c r="G13" s="7"/>
      <c r="H13" s="38"/>
      <c r="I13" s="7"/>
      <c r="J13" s="9"/>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row>
    <row r="14" spans="1:33" x14ac:dyDescent="0.2">
      <c r="A14" s="250"/>
      <c r="B14" s="221" t="s">
        <v>365</v>
      </c>
      <c r="C14" s="10"/>
      <c r="D14" s="315">
        <f>Summary!D15</f>
        <v>1.25</v>
      </c>
      <c r="E14" s="10"/>
      <c r="F14" s="11" t="s">
        <v>153</v>
      </c>
      <c r="G14" s="10"/>
      <c r="H14" s="316">
        <f>Summary!E15</f>
        <v>93</v>
      </c>
      <c r="I14" s="10"/>
      <c r="J14" s="12">
        <f>D14*H14</f>
        <v>116.25</v>
      </c>
      <c r="K14" s="250"/>
      <c r="L14" s="250"/>
      <c r="M14" s="251"/>
      <c r="N14" s="251"/>
      <c r="O14" s="251"/>
      <c r="P14" s="251"/>
      <c r="Q14" s="251"/>
      <c r="R14" s="250"/>
      <c r="S14" s="250"/>
      <c r="T14" s="250"/>
      <c r="U14" s="250"/>
      <c r="V14" s="250"/>
      <c r="W14" s="250"/>
      <c r="X14" s="250"/>
      <c r="Y14" s="250"/>
      <c r="Z14" s="250"/>
      <c r="AA14" s="250"/>
      <c r="AB14" s="250"/>
      <c r="AC14" s="250"/>
      <c r="AD14" s="250"/>
      <c r="AE14" s="250"/>
      <c r="AF14" s="250"/>
      <c r="AG14" s="250"/>
    </row>
    <row r="15" spans="1:33" ht="3.75" customHeight="1" x14ac:dyDescent="0.2">
      <c r="B15" s="10"/>
      <c r="C15" s="10"/>
      <c r="D15" s="64"/>
      <c r="E15" s="10"/>
      <c r="F15" s="14"/>
      <c r="G15" s="10"/>
      <c r="H15" s="69"/>
      <c r="I15" s="10"/>
      <c r="J15" s="12"/>
      <c r="K15" s="13"/>
      <c r="O15" s="246"/>
    </row>
    <row r="16" spans="1:33" x14ac:dyDescent="0.2">
      <c r="B16" s="6" t="s">
        <v>107</v>
      </c>
      <c r="C16" s="7"/>
      <c r="D16" s="38"/>
      <c r="E16" s="7"/>
      <c r="F16" s="8"/>
      <c r="G16" s="7"/>
      <c r="H16" s="54"/>
      <c r="I16" s="7"/>
      <c r="J16" s="15"/>
      <c r="O16" s="246"/>
    </row>
    <row r="17" spans="1:33" ht="0.75" customHeight="1" x14ac:dyDescent="0.2">
      <c r="B17" s="7"/>
      <c r="C17" s="7"/>
      <c r="D17" s="38"/>
      <c r="E17" s="7"/>
      <c r="F17" s="8"/>
      <c r="G17" s="7"/>
      <c r="H17" s="54"/>
      <c r="I17" s="7"/>
      <c r="J17" s="15"/>
    </row>
    <row r="18" spans="1:33" ht="15.75" x14ac:dyDescent="0.25">
      <c r="B18" s="45" t="s">
        <v>130</v>
      </c>
      <c r="C18" s="7"/>
      <c r="D18" s="59"/>
      <c r="E18" s="7"/>
      <c r="F18" s="8"/>
      <c r="G18" s="7"/>
      <c r="H18" s="54"/>
      <c r="I18" s="7"/>
      <c r="J18" s="219">
        <f>SUM(J19:J20)</f>
        <v>94.6</v>
      </c>
    </row>
    <row r="19" spans="1:33" x14ac:dyDescent="0.2">
      <c r="B19" s="48" t="s">
        <v>358</v>
      </c>
      <c r="C19" s="7"/>
      <c r="D19" s="308">
        <v>80</v>
      </c>
      <c r="E19" s="7"/>
      <c r="F19" s="17" t="s">
        <v>124</v>
      </c>
      <c r="G19" s="7"/>
      <c r="H19" s="309">
        <f>Barsd</f>
        <v>0.3125</v>
      </c>
      <c r="I19" s="7"/>
      <c r="J19" s="15">
        <f>D19*H19</f>
        <v>25</v>
      </c>
    </row>
    <row r="20" spans="1:33" x14ac:dyDescent="0.2">
      <c r="A20" s="246"/>
      <c r="B20" s="16" t="s">
        <v>233</v>
      </c>
      <c r="C20" s="7"/>
      <c r="D20" s="310">
        <v>16</v>
      </c>
      <c r="E20" s="7"/>
      <c r="F20" s="17" t="s">
        <v>124</v>
      </c>
      <c r="G20" s="7"/>
      <c r="H20" s="309">
        <f>alfSd</f>
        <v>4.3499999999999996</v>
      </c>
      <c r="I20" s="7"/>
      <c r="J20" s="15">
        <f>D20*H20</f>
        <v>69.599999999999994</v>
      </c>
      <c r="L20" s="246"/>
      <c r="M20" s="246"/>
      <c r="N20" s="246"/>
      <c r="O20" s="246"/>
      <c r="P20" s="246"/>
      <c r="Q20" s="246"/>
      <c r="R20" s="246"/>
      <c r="S20" s="246"/>
      <c r="T20" s="246"/>
      <c r="U20" s="246"/>
      <c r="V20" s="246"/>
      <c r="W20" s="246"/>
      <c r="X20" s="246"/>
      <c r="Y20" s="246"/>
      <c r="Z20" s="246"/>
      <c r="AA20" s="246"/>
      <c r="AB20" s="246"/>
      <c r="AC20" s="246"/>
      <c r="AD20" s="246"/>
      <c r="AE20" s="246"/>
      <c r="AF20" s="246"/>
      <c r="AG20" s="246"/>
    </row>
    <row r="21" spans="1:33" ht="5.0999999999999996" customHeight="1" x14ac:dyDescent="0.2">
      <c r="B21" s="7"/>
      <c r="C21" s="7"/>
      <c r="D21" s="38"/>
      <c r="E21" s="7"/>
      <c r="F21" s="8"/>
      <c r="G21" s="7"/>
      <c r="H21" s="54"/>
      <c r="I21" s="7"/>
      <c r="J21" s="15"/>
    </row>
    <row r="22" spans="1:33" x14ac:dyDescent="0.2">
      <c r="B22" s="45" t="s">
        <v>143</v>
      </c>
      <c r="C22" s="7"/>
      <c r="D22" s="38"/>
      <c r="E22" s="7"/>
      <c r="F22" s="8"/>
      <c r="G22" s="7"/>
      <c r="H22" s="54"/>
      <c r="I22" s="7"/>
      <c r="J22" s="219">
        <f>SUM(J25:J27)</f>
        <v>89.699999999999989</v>
      </c>
      <c r="M22" s="36"/>
    </row>
    <row r="23" spans="1:33" s="43" customFormat="1" x14ac:dyDescent="0.2">
      <c r="A23" s="61"/>
      <c r="B23" s="209" t="s">
        <v>215</v>
      </c>
      <c r="C23" s="62"/>
      <c r="D23" s="67"/>
      <c r="E23" s="62"/>
      <c r="F23" s="63"/>
      <c r="G23" s="62"/>
      <c r="H23" s="210"/>
      <c r="I23" s="62"/>
      <c r="J23" s="211"/>
      <c r="L23" s="61"/>
      <c r="M23" s="212"/>
      <c r="N23" s="61"/>
      <c r="O23" s="61"/>
      <c r="P23" s="61"/>
      <c r="Q23" s="61"/>
      <c r="R23" s="61"/>
      <c r="S23" s="61"/>
      <c r="T23" s="61"/>
      <c r="U23" s="61"/>
      <c r="V23" s="61"/>
      <c r="W23" s="61"/>
      <c r="X23" s="61"/>
      <c r="Y23" s="61"/>
      <c r="Z23" s="61"/>
      <c r="AA23" s="61"/>
      <c r="AB23" s="61"/>
      <c r="AC23" s="61"/>
      <c r="AD23" s="61"/>
      <c r="AE23" s="61"/>
      <c r="AF23" s="61"/>
      <c r="AG23" s="61"/>
    </row>
    <row r="24" spans="1:33" s="43" customFormat="1" x14ac:dyDescent="0.2">
      <c r="A24" s="61"/>
      <c r="B24" s="209" t="s">
        <v>216</v>
      </c>
      <c r="C24" s="62"/>
      <c r="D24" s="67"/>
      <c r="E24" s="62"/>
      <c r="F24" s="63"/>
      <c r="G24" s="62"/>
      <c r="H24" s="210"/>
      <c r="I24" s="62"/>
      <c r="J24" s="211"/>
      <c r="L24" s="61"/>
      <c r="M24" s="212"/>
      <c r="N24" s="61"/>
      <c r="O24" s="61"/>
      <c r="P24" s="61"/>
      <c r="Q24" s="61"/>
      <c r="R24" s="61"/>
      <c r="S24" s="61"/>
      <c r="T24" s="61"/>
      <c r="U24" s="61"/>
      <c r="V24" s="61"/>
      <c r="W24" s="61"/>
      <c r="X24" s="61"/>
      <c r="Y24" s="61"/>
      <c r="Z24" s="61"/>
      <c r="AA24" s="61"/>
      <c r="AB24" s="61"/>
      <c r="AC24" s="61"/>
      <c r="AD24" s="61"/>
      <c r="AE24" s="61"/>
      <c r="AF24" s="61"/>
      <c r="AG24" s="61"/>
    </row>
    <row r="25" spans="1:33" x14ac:dyDescent="0.2">
      <c r="B25" s="16" t="s">
        <v>58</v>
      </c>
      <c r="C25" s="7"/>
      <c r="D25" s="310">
        <v>80</v>
      </c>
      <c r="E25" s="7"/>
      <c r="F25" s="17" t="s">
        <v>124</v>
      </c>
      <c r="G25" s="7"/>
      <c r="H25" s="309">
        <f>Nitrogen</f>
        <v>0.56999999999999995</v>
      </c>
      <c r="I25" s="7"/>
      <c r="J25" s="18">
        <f>D25*H25</f>
        <v>45.599999999999994</v>
      </c>
    </row>
    <row r="26" spans="1:33" x14ac:dyDescent="0.2">
      <c r="B26" s="48" t="s">
        <v>288</v>
      </c>
      <c r="C26" s="7"/>
      <c r="D26" s="310">
        <v>70</v>
      </c>
      <c r="E26" s="7"/>
      <c r="F26" s="201" t="s">
        <v>124</v>
      </c>
      <c r="G26" s="7"/>
      <c r="H26" s="309">
        <f>Phosphorous</f>
        <v>0.55000000000000004</v>
      </c>
      <c r="I26" s="7"/>
      <c r="J26" s="18">
        <f>D26*H26</f>
        <v>38.5</v>
      </c>
    </row>
    <row r="27" spans="1:33" x14ac:dyDescent="0.2">
      <c r="B27" s="48" t="s">
        <v>267</v>
      </c>
      <c r="C27" s="7"/>
      <c r="D27" s="310">
        <v>20</v>
      </c>
      <c r="E27" s="7"/>
      <c r="F27" s="201" t="s">
        <v>124</v>
      </c>
      <c r="G27" s="7"/>
      <c r="H27" s="309">
        <f>Sulfur</f>
        <v>0.28000000000000003</v>
      </c>
      <c r="I27" s="7"/>
      <c r="J27" s="18">
        <f>D27*H27</f>
        <v>5.6000000000000005</v>
      </c>
    </row>
    <row r="28" spans="1:33" ht="5.0999999999999996" customHeight="1" x14ac:dyDescent="0.2">
      <c r="B28" s="7"/>
      <c r="C28" s="7"/>
      <c r="D28" s="38"/>
      <c r="E28" s="7"/>
      <c r="F28" s="8"/>
      <c r="G28" s="7"/>
      <c r="H28" s="54"/>
      <c r="I28" s="7"/>
      <c r="J28" s="18"/>
    </row>
    <row r="29" spans="1:33" x14ac:dyDescent="0.2">
      <c r="B29" s="45" t="s">
        <v>115</v>
      </c>
      <c r="C29" s="7"/>
      <c r="D29" s="38"/>
      <c r="E29" s="7"/>
      <c r="F29" s="8"/>
      <c r="G29" s="7"/>
      <c r="H29" s="54"/>
      <c r="I29" s="7"/>
      <c r="J29" s="218">
        <f>SUM(J33:J33)</f>
        <v>0</v>
      </c>
    </row>
    <row r="30" spans="1:33" s="43" customFormat="1" x14ac:dyDescent="0.2">
      <c r="A30" s="61"/>
      <c r="B30" s="209" t="s">
        <v>217</v>
      </c>
      <c r="C30" s="62"/>
      <c r="D30" s="67"/>
      <c r="E30" s="62"/>
      <c r="F30" s="63"/>
      <c r="G30" s="62"/>
      <c r="H30" s="210"/>
      <c r="I30" s="62"/>
      <c r="J30" s="213"/>
      <c r="L30" s="61"/>
      <c r="M30" s="61"/>
      <c r="N30" s="61"/>
      <c r="O30" s="61"/>
      <c r="P30" s="61"/>
      <c r="Q30" s="61"/>
      <c r="R30" s="61"/>
      <c r="S30" s="61"/>
      <c r="T30" s="61"/>
      <c r="U30" s="61"/>
      <c r="V30" s="61"/>
      <c r="W30" s="61"/>
      <c r="X30" s="61"/>
      <c r="Y30" s="61"/>
      <c r="Z30" s="61"/>
      <c r="AA30" s="61"/>
      <c r="AB30" s="61"/>
      <c r="AC30" s="61"/>
      <c r="AD30" s="61"/>
      <c r="AE30" s="61"/>
      <c r="AF30" s="61"/>
      <c r="AG30" s="61"/>
    </row>
    <row r="31" spans="1:33" s="43" customFormat="1" x14ac:dyDescent="0.2">
      <c r="A31" s="61"/>
      <c r="B31" s="209" t="s">
        <v>218</v>
      </c>
      <c r="C31" s="62"/>
      <c r="D31" s="67"/>
      <c r="E31" s="62"/>
      <c r="F31" s="63"/>
      <c r="G31" s="62"/>
      <c r="H31" s="210"/>
      <c r="I31" s="62"/>
      <c r="J31" s="213"/>
      <c r="L31" s="61"/>
      <c r="M31" s="61"/>
      <c r="N31" s="61"/>
      <c r="O31" s="61"/>
      <c r="P31" s="61"/>
      <c r="Q31" s="61"/>
      <c r="R31" s="61"/>
      <c r="S31" s="61"/>
      <c r="T31" s="61"/>
      <c r="U31" s="61"/>
      <c r="V31" s="61"/>
      <c r="W31" s="61"/>
      <c r="X31" s="61"/>
      <c r="Y31" s="61"/>
      <c r="Z31" s="61"/>
      <c r="AA31" s="61"/>
      <c r="AB31" s="61"/>
      <c r="AC31" s="61"/>
      <c r="AD31" s="61"/>
      <c r="AE31" s="61"/>
      <c r="AF31" s="61"/>
      <c r="AG31" s="61"/>
    </row>
    <row r="32" spans="1:33" s="43" customFormat="1" x14ac:dyDescent="0.2">
      <c r="A32" s="61"/>
      <c r="B32" s="209" t="s">
        <v>219</v>
      </c>
      <c r="C32" s="62"/>
      <c r="D32" s="67"/>
      <c r="E32" s="62"/>
      <c r="F32" s="63"/>
      <c r="G32" s="62"/>
      <c r="H32" s="210"/>
      <c r="I32" s="62"/>
      <c r="J32" s="213"/>
      <c r="L32" s="61"/>
      <c r="M32" s="61"/>
      <c r="N32" s="61"/>
      <c r="O32" s="61"/>
      <c r="P32" s="61"/>
      <c r="Q32" s="61"/>
      <c r="R32" s="61"/>
      <c r="S32" s="61"/>
      <c r="T32" s="61"/>
      <c r="U32" s="61"/>
      <c r="V32" s="61"/>
      <c r="W32" s="61"/>
      <c r="X32" s="61"/>
      <c r="Y32" s="61"/>
      <c r="Z32" s="61"/>
      <c r="AA32" s="61"/>
      <c r="AB32" s="61"/>
      <c r="AC32" s="61"/>
      <c r="AD32" s="61"/>
      <c r="AE32" s="61"/>
      <c r="AF32" s="61"/>
      <c r="AG32" s="61"/>
    </row>
    <row r="33" spans="1:33" x14ac:dyDescent="0.2">
      <c r="B33" s="48"/>
      <c r="C33" s="7"/>
      <c r="D33" s="151"/>
      <c r="E33" s="7"/>
      <c r="F33" s="17"/>
      <c r="G33" s="7"/>
      <c r="H33" s="152"/>
      <c r="I33" s="7"/>
      <c r="J33" s="18"/>
    </row>
    <row r="34" spans="1:33" ht="5.25" customHeight="1" x14ac:dyDescent="0.2">
      <c r="B34" s="7"/>
      <c r="C34" s="7"/>
      <c r="D34" s="52"/>
      <c r="E34" s="7"/>
      <c r="F34" s="8"/>
      <c r="G34" s="7"/>
      <c r="H34" s="54"/>
      <c r="I34" s="7"/>
      <c r="J34" s="18"/>
    </row>
    <row r="35" spans="1:33" x14ac:dyDescent="0.2">
      <c r="B35" s="45" t="s">
        <v>31</v>
      </c>
      <c r="C35" s="7"/>
      <c r="D35" s="65"/>
      <c r="E35" s="7"/>
      <c r="F35" s="8"/>
      <c r="G35" s="7"/>
      <c r="H35" s="54"/>
      <c r="I35" s="7"/>
      <c r="J35" s="218">
        <f>SUM(J36:J39)</f>
        <v>46.873305378361479</v>
      </c>
    </row>
    <row r="36" spans="1:33" x14ac:dyDescent="0.2">
      <c r="B36" s="29" t="s">
        <v>173</v>
      </c>
      <c r="C36" s="7"/>
      <c r="D36" s="311">
        <f>'Machinery Costs'!M37</f>
        <v>7.3707317073170735</v>
      </c>
      <c r="E36" s="7"/>
      <c r="F36" s="17" t="s">
        <v>175</v>
      </c>
      <c r="G36" s="7"/>
      <c r="H36" s="309">
        <f>Diesel</f>
        <v>3</v>
      </c>
      <c r="I36" s="7"/>
      <c r="J36" s="18">
        <f>D36*H36</f>
        <v>22.112195121951221</v>
      </c>
    </row>
    <row r="37" spans="1:33" x14ac:dyDescent="0.2">
      <c r="B37" s="29" t="s">
        <v>174</v>
      </c>
      <c r="C37" s="7"/>
      <c r="D37" s="151">
        <v>1</v>
      </c>
      <c r="E37" s="7"/>
      <c r="F37" s="17" t="s">
        <v>125</v>
      </c>
      <c r="G37" s="7"/>
      <c r="H37" s="313">
        <f>'Machinery Costs'!I37</f>
        <v>2.4196800000000001</v>
      </c>
      <c r="I37" s="7"/>
      <c r="J37" s="18">
        <f>D37*H37</f>
        <v>2.4196800000000001</v>
      </c>
    </row>
    <row r="38" spans="1:33" x14ac:dyDescent="0.2">
      <c r="B38" s="29" t="s">
        <v>59</v>
      </c>
      <c r="C38" s="7"/>
      <c r="D38" s="151">
        <v>1</v>
      </c>
      <c r="E38" s="7"/>
      <c r="F38" s="17" t="s">
        <v>125</v>
      </c>
      <c r="G38" s="7"/>
      <c r="H38" s="313">
        <f>'Machinery Costs'!G37</f>
        <v>7.6450199999999988</v>
      </c>
      <c r="I38" s="7"/>
      <c r="J38" s="18">
        <f>D38*H38</f>
        <v>7.6450199999999988</v>
      </c>
    </row>
    <row r="39" spans="1:33" x14ac:dyDescent="0.2">
      <c r="B39" s="29" t="s">
        <v>113</v>
      </c>
      <c r="C39" s="7"/>
      <c r="D39" s="312">
        <f>'Machinery Costs'!L37</f>
        <v>0.82564102564102559</v>
      </c>
      <c r="E39" s="7"/>
      <c r="F39" s="201" t="s">
        <v>284</v>
      </c>
      <c r="G39" s="7"/>
      <c r="H39" s="314">
        <f>Labor</f>
        <v>17.8</v>
      </c>
      <c r="I39" s="7"/>
      <c r="J39" s="18">
        <f>D39*H39</f>
        <v>14.696410256410257</v>
      </c>
    </row>
    <row r="40" spans="1:33" ht="5.25" customHeight="1" x14ac:dyDescent="0.2">
      <c r="B40" s="7"/>
      <c r="C40" s="7"/>
      <c r="D40" s="38"/>
      <c r="E40" s="7"/>
      <c r="F40" s="8"/>
      <c r="G40" s="7"/>
      <c r="H40" s="54"/>
      <c r="I40" s="7"/>
      <c r="J40" s="18"/>
    </row>
    <row r="41" spans="1:33" x14ac:dyDescent="0.2">
      <c r="B41" s="45" t="s">
        <v>97</v>
      </c>
      <c r="C41" s="7"/>
      <c r="D41" s="65"/>
      <c r="E41" s="7"/>
      <c r="F41" s="8"/>
      <c r="G41" s="7"/>
      <c r="H41" s="54"/>
      <c r="I41" s="7"/>
      <c r="J41" s="218">
        <f>SUM(J42:J43)</f>
        <v>26</v>
      </c>
    </row>
    <row r="42" spans="1:33" x14ac:dyDescent="0.2">
      <c r="B42" s="48" t="s">
        <v>312</v>
      </c>
      <c r="C42" s="7"/>
      <c r="D42" s="151">
        <v>1</v>
      </c>
      <c r="E42" s="7"/>
      <c r="F42" s="17" t="s">
        <v>125</v>
      </c>
      <c r="G42" s="7"/>
      <c r="H42" s="152">
        <v>1</v>
      </c>
      <c r="I42" s="7"/>
      <c r="J42" s="18">
        <f>D42*H42</f>
        <v>1</v>
      </c>
    </row>
    <row r="43" spans="1:33" x14ac:dyDescent="0.2">
      <c r="B43" s="48" t="s">
        <v>363</v>
      </c>
      <c r="C43" s="7"/>
      <c r="D43" s="151">
        <v>1</v>
      </c>
      <c r="E43" s="7"/>
      <c r="F43" s="201" t="s">
        <v>125</v>
      </c>
      <c r="G43" s="7"/>
      <c r="H43" s="152">
        <f>custcomb</f>
        <v>25</v>
      </c>
      <c r="I43" s="7"/>
      <c r="J43" s="18">
        <f>D43*H43</f>
        <v>25</v>
      </c>
    </row>
    <row r="44" spans="1:33" ht="5.25" customHeight="1" x14ac:dyDescent="0.2">
      <c r="B44" s="7"/>
      <c r="C44" s="7"/>
      <c r="D44" s="38"/>
      <c r="E44" s="7"/>
      <c r="F44" s="8"/>
      <c r="G44" s="7"/>
      <c r="H44" s="54"/>
      <c r="I44" s="7"/>
      <c r="J44" s="18"/>
    </row>
    <row r="45" spans="1:33" x14ac:dyDescent="0.2">
      <c r="B45" s="45" t="s">
        <v>98</v>
      </c>
      <c r="C45" s="7"/>
      <c r="D45" s="38"/>
      <c r="E45" s="7"/>
      <c r="F45" s="8"/>
      <c r="G45" s="7"/>
      <c r="H45" s="54"/>
      <c r="I45" s="7"/>
      <c r="J45" s="218">
        <f>SUM(J46:J48)</f>
        <v>18</v>
      </c>
    </row>
    <row r="46" spans="1:33" x14ac:dyDescent="0.2">
      <c r="B46" s="16" t="s">
        <v>127</v>
      </c>
      <c r="C46" s="7"/>
      <c r="D46" s="37">
        <v>1</v>
      </c>
      <c r="E46" s="7"/>
      <c r="F46" s="201" t="s">
        <v>125</v>
      </c>
      <c r="G46" s="7"/>
      <c r="H46" s="154">
        <f>cifb</f>
        <v>18</v>
      </c>
      <c r="I46" s="7"/>
      <c r="J46" s="18">
        <f>D46*H46</f>
        <v>18</v>
      </c>
    </row>
    <row r="47" spans="1:33" x14ac:dyDescent="0.2">
      <c r="B47" s="29" t="s">
        <v>112</v>
      </c>
      <c r="C47" s="7"/>
      <c r="D47" s="37"/>
      <c r="E47" s="7"/>
      <c r="F47" s="17"/>
      <c r="G47" s="7"/>
      <c r="H47" s="39"/>
      <c r="I47" s="7"/>
      <c r="J47" s="18">
        <f>D47*H47</f>
        <v>0</v>
      </c>
    </row>
    <row r="48" spans="1:33" x14ac:dyDescent="0.2">
      <c r="A48" s="199"/>
      <c r="B48" s="29" t="s">
        <v>154</v>
      </c>
      <c r="C48" s="7"/>
      <c r="D48" s="153"/>
      <c r="E48" s="7"/>
      <c r="F48" s="17"/>
      <c r="G48" s="7"/>
      <c r="H48" s="39"/>
      <c r="I48" s="7"/>
      <c r="J48" s="18"/>
      <c r="L48" s="199"/>
      <c r="M48" s="199"/>
      <c r="N48" s="199"/>
      <c r="O48" s="199"/>
      <c r="P48" s="199"/>
      <c r="Q48" s="199"/>
      <c r="R48" s="199"/>
      <c r="S48" s="199"/>
      <c r="T48" s="199"/>
      <c r="U48" s="199"/>
      <c r="V48" s="199"/>
      <c r="W48" s="199"/>
      <c r="X48" s="199"/>
      <c r="Y48" s="199"/>
      <c r="Z48" s="199"/>
      <c r="AA48" s="199"/>
      <c r="AB48" s="199"/>
      <c r="AC48" s="199"/>
      <c r="AD48" s="199"/>
      <c r="AE48" s="199"/>
      <c r="AF48" s="199"/>
      <c r="AG48" s="199"/>
    </row>
    <row r="49" spans="1:33" ht="5.0999999999999996" customHeight="1" x14ac:dyDescent="0.2">
      <c r="B49" s="7"/>
      <c r="C49" s="7"/>
      <c r="D49" s="38"/>
      <c r="E49" s="7"/>
      <c r="F49" s="8"/>
      <c r="G49" s="7"/>
      <c r="H49" s="38"/>
      <c r="I49" s="7"/>
      <c r="J49" s="18"/>
    </row>
    <row r="50" spans="1:33" ht="14.25" x14ac:dyDescent="0.2">
      <c r="B50" s="62" t="s">
        <v>206</v>
      </c>
      <c r="C50" s="7"/>
      <c r="D50" s="38"/>
      <c r="E50" s="7"/>
      <c r="F50" s="8"/>
      <c r="G50" s="7"/>
      <c r="H50" s="38"/>
      <c r="I50" s="7"/>
      <c r="J50" s="18">
        <f>+(J18+J22+J29+J35+J41+J45)*operloan*0.5</f>
        <v>7.9112325296278927</v>
      </c>
    </row>
    <row r="51" spans="1:33" ht="5.25" customHeight="1" x14ac:dyDescent="0.2">
      <c r="B51" s="7"/>
      <c r="C51" s="7"/>
      <c r="D51" s="38"/>
      <c r="E51" s="7"/>
      <c r="F51" s="8"/>
      <c r="G51" s="7"/>
      <c r="H51" s="38"/>
      <c r="I51" s="7"/>
      <c r="J51" s="18"/>
    </row>
    <row r="52" spans="1:33" ht="11.25" customHeight="1" x14ac:dyDescent="0.2">
      <c r="B52" s="45" t="s">
        <v>151</v>
      </c>
      <c r="C52" s="45"/>
      <c r="D52" s="58"/>
      <c r="E52" s="45"/>
      <c r="F52" s="46"/>
      <c r="G52" s="45"/>
      <c r="H52" s="58"/>
      <c r="I52" s="45"/>
      <c r="J52" s="47">
        <f>SUM(J18:J50)-(J18+J22+J29+J35+J41+J45)</f>
        <v>283.0845379079895</v>
      </c>
    </row>
    <row r="53" spans="1:33" ht="5.25" hidden="1" customHeight="1" x14ac:dyDescent="0.2">
      <c r="B53" s="7"/>
      <c r="C53" s="7"/>
      <c r="D53" s="38"/>
      <c r="E53" s="7"/>
      <c r="F53" s="8"/>
      <c r="G53" s="7"/>
      <c r="H53" s="38"/>
      <c r="I53" s="7"/>
      <c r="J53" s="18"/>
    </row>
    <row r="54" spans="1:33" x14ac:dyDescent="0.2">
      <c r="A54" s="250"/>
      <c r="B54" s="7" t="s">
        <v>364</v>
      </c>
      <c r="C54" s="7"/>
      <c r="D54" s="38"/>
      <c r="E54" s="7"/>
      <c r="F54" s="8"/>
      <c r="G54" s="7"/>
      <c r="H54" s="38"/>
      <c r="I54" s="7"/>
      <c r="J54" s="18">
        <f>J52/D14</f>
        <v>226.4676303263916</v>
      </c>
      <c r="L54" s="250"/>
      <c r="M54" s="250"/>
      <c r="N54" s="250"/>
      <c r="O54" s="250"/>
      <c r="P54" s="250"/>
      <c r="Q54" s="250"/>
      <c r="R54" s="250"/>
      <c r="S54" s="250"/>
      <c r="T54" s="250"/>
      <c r="U54" s="250"/>
      <c r="V54" s="250"/>
      <c r="W54" s="250"/>
      <c r="X54" s="250"/>
      <c r="Y54" s="250"/>
      <c r="Z54" s="250"/>
      <c r="AA54" s="250"/>
      <c r="AB54" s="250"/>
      <c r="AC54" s="250"/>
      <c r="AD54" s="250"/>
      <c r="AE54" s="250"/>
      <c r="AF54" s="250"/>
      <c r="AG54" s="250"/>
    </row>
    <row r="55" spans="1:33" ht="5.25" customHeight="1" x14ac:dyDescent="0.2">
      <c r="A55" s="250"/>
      <c r="B55" s="7"/>
      <c r="C55" s="7"/>
      <c r="D55" s="38"/>
      <c r="E55" s="7"/>
      <c r="F55" s="8"/>
      <c r="G55" s="7"/>
      <c r="H55" s="38"/>
      <c r="I55" s="7"/>
      <c r="J55" s="18"/>
      <c r="L55" s="250"/>
      <c r="M55" s="250"/>
      <c r="N55" s="250"/>
      <c r="O55" s="250"/>
      <c r="P55" s="250"/>
      <c r="Q55" s="250"/>
      <c r="R55" s="250"/>
      <c r="S55" s="250"/>
      <c r="T55" s="250"/>
      <c r="U55" s="250"/>
      <c r="V55" s="250"/>
      <c r="W55" s="250"/>
      <c r="X55" s="250"/>
      <c r="Y55" s="250"/>
      <c r="Z55" s="250"/>
      <c r="AA55" s="250"/>
      <c r="AB55" s="250"/>
      <c r="AC55" s="250"/>
      <c r="AD55" s="250"/>
      <c r="AE55" s="250"/>
      <c r="AF55" s="250"/>
      <c r="AG55" s="250"/>
    </row>
    <row r="56" spans="1:33" s="41" customFormat="1" x14ac:dyDescent="0.2">
      <c r="A56" s="40"/>
      <c r="B56" s="55" t="s">
        <v>152</v>
      </c>
      <c r="C56" s="55"/>
      <c r="D56" s="56"/>
      <c r="E56" s="55"/>
      <c r="F56" s="57"/>
      <c r="G56" s="55"/>
      <c r="H56" s="56"/>
      <c r="I56" s="55"/>
      <c r="J56" s="80">
        <f>J14-J52</f>
        <v>-166.8345379079895</v>
      </c>
      <c r="L56" s="40"/>
      <c r="M56" s="40"/>
      <c r="N56" s="40"/>
      <c r="O56" s="40"/>
      <c r="P56" s="40"/>
      <c r="Q56" s="40"/>
      <c r="R56" s="40"/>
      <c r="S56" s="40"/>
      <c r="T56" s="40"/>
      <c r="U56" s="40"/>
      <c r="V56" s="40"/>
      <c r="W56" s="40"/>
      <c r="X56" s="40"/>
      <c r="Y56" s="40"/>
      <c r="Z56" s="40"/>
      <c r="AA56" s="40"/>
      <c r="AB56" s="40"/>
      <c r="AC56" s="40"/>
      <c r="AD56" s="40"/>
      <c r="AE56" s="40"/>
      <c r="AF56" s="40"/>
      <c r="AG56" s="40"/>
    </row>
    <row r="57" spans="1:33" s="368" customFormat="1" ht="4.5" customHeight="1" x14ac:dyDescent="0.2">
      <c r="A57" s="223"/>
      <c r="B57" s="364"/>
      <c r="C57" s="364"/>
      <c r="D57" s="365"/>
      <c r="E57" s="364"/>
      <c r="F57" s="366"/>
      <c r="G57" s="364"/>
      <c r="H57" s="365"/>
      <c r="I57" s="364"/>
      <c r="J57" s="367"/>
      <c r="L57" s="223"/>
      <c r="M57" s="223"/>
      <c r="N57" s="223"/>
      <c r="O57" s="223"/>
      <c r="P57" s="223"/>
      <c r="Q57" s="223"/>
      <c r="R57" s="223"/>
      <c r="S57" s="223"/>
      <c r="T57" s="223"/>
      <c r="U57" s="223"/>
      <c r="V57" s="223"/>
      <c r="W57" s="223"/>
      <c r="X57" s="223"/>
      <c r="Y57" s="223"/>
      <c r="Z57" s="223"/>
      <c r="AA57" s="223"/>
      <c r="AB57" s="223"/>
      <c r="AC57" s="223"/>
      <c r="AD57" s="223"/>
      <c r="AE57" s="223"/>
      <c r="AF57" s="223"/>
      <c r="AG57" s="223"/>
    </row>
    <row r="58" spans="1:33" ht="24.75" customHeight="1" x14ac:dyDescent="0.2">
      <c r="B58" s="6" t="s">
        <v>204</v>
      </c>
      <c r="C58" s="7"/>
      <c r="D58" s="38"/>
      <c r="E58" s="7"/>
      <c r="F58" s="8"/>
      <c r="G58" s="7"/>
      <c r="H58" s="38"/>
      <c r="I58" s="7"/>
      <c r="J58" s="18"/>
    </row>
    <row r="59" spans="1:33" x14ac:dyDescent="0.2">
      <c r="A59" s="250"/>
      <c r="B59" s="404" t="s">
        <v>321</v>
      </c>
      <c r="C59" s="404"/>
      <c r="D59" s="404"/>
      <c r="E59" s="7"/>
      <c r="F59" s="8"/>
      <c r="G59" s="7"/>
      <c r="H59" s="357">
        <f>'Machinery Costs'!C37</f>
        <v>11.31906</v>
      </c>
      <c r="I59" s="7"/>
      <c r="J59" s="18">
        <f>H59</f>
        <v>11.31906</v>
      </c>
      <c r="L59" s="250"/>
      <c r="M59" s="250"/>
      <c r="N59" s="250"/>
      <c r="O59" s="250"/>
      <c r="P59" s="250"/>
      <c r="Q59" s="250"/>
      <c r="R59" s="250"/>
      <c r="S59" s="250"/>
      <c r="T59" s="250"/>
      <c r="U59" s="250"/>
      <c r="V59" s="250"/>
      <c r="W59" s="250"/>
      <c r="X59" s="250"/>
      <c r="Y59" s="250"/>
      <c r="Z59" s="250"/>
      <c r="AA59" s="250"/>
      <c r="AB59" s="250"/>
      <c r="AC59" s="250"/>
      <c r="AD59" s="250"/>
      <c r="AE59" s="250"/>
      <c r="AF59" s="250"/>
      <c r="AG59" s="250"/>
    </row>
    <row r="60" spans="1:33" x14ac:dyDescent="0.2">
      <c r="A60" s="250"/>
      <c r="B60" s="404" t="s">
        <v>322</v>
      </c>
      <c r="C60" s="404"/>
      <c r="D60" s="404"/>
      <c r="E60" s="7"/>
      <c r="F60" s="8"/>
      <c r="G60" s="7"/>
      <c r="H60" s="357">
        <f>'Machinery Costs'!D37</f>
        <v>9.3912600000000008</v>
      </c>
      <c r="I60" s="7"/>
      <c r="J60" s="18">
        <f t="shared" ref="J60:J61" si="0">H60</f>
        <v>9.3912600000000008</v>
      </c>
      <c r="L60" s="250"/>
      <c r="M60" s="250"/>
      <c r="N60" s="250"/>
      <c r="O60" s="250"/>
      <c r="P60" s="250"/>
      <c r="Q60" s="250"/>
      <c r="R60" s="250"/>
      <c r="S60" s="250"/>
      <c r="T60" s="250"/>
      <c r="U60" s="250"/>
      <c r="V60" s="250"/>
      <c r="W60" s="250"/>
      <c r="X60" s="250"/>
      <c r="Y60" s="250"/>
      <c r="Z60" s="250"/>
      <c r="AA60" s="250"/>
      <c r="AB60" s="250"/>
      <c r="AC60" s="250"/>
      <c r="AD60" s="250"/>
      <c r="AE60" s="250"/>
      <c r="AF60" s="250"/>
      <c r="AG60" s="250"/>
    </row>
    <row r="61" spans="1:33" x14ac:dyDescent="0.2">
      <c r="A61" s="250"/>
      <c r="B61" s="404" t="s">
        <v>323</v>
      </c>
      <c r="C61" s="404"/>
      <c r="D61" s="404"/>
      <c r="E61" s="7"/>
      <c r="F61" s="8"/>
      <c r="G61" s="7"/>
      <c r="H61" s="357">
        <f>'Machinery Costs'!E37</f>
        <v>2.4039400000000004</v>
      </c>
      <c r="I61" s="7"/>
      <c r="J61" s="18">
        <f t="shared" si="0"/>
        <v>2.4039400000000004</v>
      </c>
      <c r="L61" s="36"/>
      <c r="M61" s="250"/>
      <c r="N61" s="250"/>
      <c r="O61" s="250"/>
      <c r="P61" s="250"/>
      <c r="Q61" s="250"/>
      <c r="R61" s="250"/>
      <c r="S61" s="250"/>
      <c r="T61" s="250"/>
      <c r="U61" s="250"/>
      <c r="V61" s="250"/>
      <c r="W61" s="250"/>
      <c r="X61" s="250"/>
      <c r="Y61" s="250"/>
      <c r="Z61" s="250"/>
      <c r="AA61" s="250"/>
      <c r="AB61" s="250"/>
      <c r="AC61" s="250"/>
      <c r="AD61" s="250"/>
      <c r="AE61" s="250"/>
      <c r="AF61" s="250"/>
      <c r="AG61" s="250"/>
    </row>
    <row r="62" spans="1:33" x14ac:dyDescent="0.2">
      <c r="B62" s="44"/>
      <c r="C62" s="44"/>
      <c r="D62" s="66"/>
      <c r="E62" s="44"/>
      <c r="F62" s="66"/>
      <c r="G62" s="7"/>
      <c r="H62" s="38"/>
      <c r="I62" s="7"/>
      <c r="J62" s="18"/>
    </row>
    <row r="63" spans="1:33" x14ac:dyDescent="0.2">
      <c r="A63" s="250"/>
      <c r="B63" s="48" t="s">
        <v>166</v>
      </c>
      <c r="C63" s="7"/>
      <c r="D63" s="37">
        <v>1</v>
      </c>
      <c r="E63" s="7"/>
      <c r="F63" s="17" t="s">
        <v>125</v>
      </c>
      <c r="G63" s="7"/>
      <c r="H63" s="70">
        <f>+(D14*H14)*D65-(J22+J29+J46)*D65</f>
        <v>2.8215000000000074</v>
      </c>
      <c r="I63" s="7"/>
      <c r="J63" s="18">
        <f>+H63</f>
        <v>2.8215000000000074</v>
      </c>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row>
    <row r="64" spans="1:33" ht="12.75" customHeight="1" x14ac:dyDescent="0.2">
      <c r="A64" s="250"/>
      <c r="B64" s="62" t="s">
        <v>260</v>
      </c>
      <c r="C64" s="7"/>
      <c r="D64" s="38"/>
      <c r="E64" s="7"/>
      <c r="F64" s="8"/>
      <c r="G64" s="7"/>
      <c r="H64" s="78"/>
      <c r="I64" s="7"/>
      <c r="J64" s="18"/>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row>
    <row r="65" spans="1:33" ht="12.75" customHeight="1" x14ac:dyDescent="0.2">
      <c r="A65" s="250"/>
      <c r="B65" s="7" t="s">
        <v>167</v>
      </c>
      <c r="C65" s="7"/>
      <c r="D65" s="317">
        <v>0.33</v>
      </c>
      <c r="E65" s="7"/>
      <c r="F65" s="8"/>
      <c r="G65" s="7"/>
      <c r="H65" s="54"/>
      <c r="I65" s="7"/>
      <c r="J65" s="18"/>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row>
    <row r="66" spans="1:33" ht="12.75" customHeight="1" x14ac:dyDescent="0.2">
      <c r="A66" s="250"/>
      <c r="B66" s="7" t="s">
        <v>168</v>
      </c>
      <c r="C66" s="7"/>
      <c r="D66" s="317">
        <v>0.67</v>
      </c>
      <c r="E66" s="7"/>
      <c r="F66" s="8"/>
      <c r="G66" s="7"/>
      <c r="H66" s="54"/>
      <c r="I66" s="7"/>
      <c r="J66" s="18"/>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row>
    <row r="67" spans="1:33" x14ac:dyDescent="0.2">
      <c r="A67" s="250"/>
      <c r="B67" s="44"/>
      <c r="C67" s="44"/>
      <c r="D67" s="66"/>
      <c r="E67" s="44"/>
      <c r="F67" s="66"/>
      <c r="G67" s="7"/>
      <c r="H67" s="38"/>
      <c r="I67" s="7"/>
      <c r="J67" s="18"/>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row>
    <row r="68" spans="1:33" ht="12.75" customHeight="1" x14ac:dyDescent="0.2">
      <c r="B68" s="226" t="s">
        <v>80</v>
      </c>
      <c r="C68" s="44"/>
      <c r="D68" s="66"/>
      <c r="E68" s="44"/>
      <c r="F68" s="66"/>
      <c r="G68" s="7"/>
      <c r="H68" s="38"/>
      <c r="I68" s="7"/>
      <c r="J68" s="18">
        <f>cashrent</f>
        <v>0</v>
      </c>
      <c r="K68" s="34"/>
      <c r="AG68"/>
    </row>
    <row r="69" spans="1:33" ht="14.25" x14ac:dyDescent="0.2">
      <c r="A69" s="199"/>
      <c r="B69" s="120" t="s">
        <v>33</v>
      </c>
      <c r="C69" s="7"/>
      <c r="D69" s="38"/>
      <c r="E69" s="7"/>
      <c r="F69" s="8"/>
      <c r="G69" s="7"/>
      <c r="H69" s="38"/>
      <c r="I69" s="7"/>
      <c r="J69" s="18">
        <f>($J$18+$J$22+$J$29+$J$35+$J$41+$J$45)*oh</f>
        <v>13.758665268918074</v>
      </c>
      <c r="L69" s="199"/>
      <c r="M69" s="199"/>
      <c r="N69" s="199"/>
      <c r="O69" s="199"/>
      <c r="P69" s="199"/>
      <c r="Q69" s="199"/>
      <c r="R69" s="199"/>
      <c r="S69" s="199"/>
      <c r="T69" s="199"/>
      <c r="U69" s="199"/>
      <c r="V69" s="199"/>
      <c r="W69" s="199"/>
      <c r="X69" s="199"/>
      <c r="Y69" s="199"/>
      <c r="Z69" s="199"/>
      <c r="AA69" s="199"/>
      <c r="AB69" s="199"/>
      <c r="AC69" s="199"/>
      <c r="AD69" s="199"/>
      <c r="AE69" s="199"/>
      <c r="AF69" s="199"/>
      <c r="AG69" s="199"/>
    </row>
    <row r="70" spans="1:33" ht="5.25" customHeight="1" x14ac:dyDescent="0.2">
      <c r="B70" s="7"/>
      <c r="C70" s="7"/>
      <c r="D70" s="38"/>
      <c r="E70" s="7"/>
      <c r="F70" s="8"/>
      <c r="G70" s="7"/>
      <c r="H70" s="38"/>
      <c r="I70" s="7"/>
      <c r="J70" s="18"/>
    </row>
    <row r="71" spans="1:33" x14ac:dyDescent="0.2">
      <c r="B71" s="45" t="s">
        <v>150</v>
      </c>
      <c r="C71" s="45"/>
      <c r="D71" s="58"/>
      <c r="E71" s="45"/>
      <c r="F71" s="46"/>
      <c r="G71" s="45"/>
      <c r="H71" s="58"/>
      <c r="I71" s="45"/>
      <c r="J71" s="47">
        <f>SUM(J58:J69)</f>
        <v>39.694425268918081</v>
      </c>
    </row>
    <row r="72" spans="1:33" ht="9.75" customHeight="1" x14ac:dyDescent="0.2">
      <c r="B72" s="7"/>
      <c r="C72" s="7"/>
      <c r="D72" s="38"/>
      <c r="E72" s="7"/>
      <c r="F72" s="8"/>
      <c r="G72" s="7"/>
      <c r="H72" s="38"/>
      <c r="I72" s="7"/>
      <c r="J72" s="18"/>
    </row>
    <row r="73" spans="1:33" x14ac:dyDescent="0.2">
      <c r="B73" s="45" t="s">
        <v>60</v>
      </c>
      <c r="C73" s="45"/>
      <c r="D73" s="58"/>
      <c r="E73" s="45"/>
      <c r="F73" s="46"/>
      <c r="G73" s="45"/>
      <c r="H73" s="58"/>
      <c r="I73" s="45"/>
      <c r="J73" s="47">
        <f>J52+J71</f>
        <v>322.77896317690761</v>
      </c>
    </row>
    <row r="74" spans="1:33" x14ac:dyDescent="0.2">
      <c r="A74" s="250"/>
      <c r="B74" s="62" t="s">
        <v>315</v>
      </c>
      <c r="C74" s="45"/>
      <c r="D74" s="58"/>
      <c r="E74" s="45"/>
      <c r="F74" s="46"/>
      <c r="G74" s="45"/>
      <c r="H74" s="58"/>
      <c r="I74" s="45"/>
      <c r="J74" s="47">
        <f>J73/D14</f>
        <v>258.22317054152609</v>
      </c>
      <c r="K74" s="250"/>
      <c r="L74" s="250"/>
      <c r="M74" s="250"/>
      <c r="N74" s="250"/>
      <c r="O74" s="250"/>
      <c r="P74" s="250"/>
      <c r="Q74" s="250"/>
      <c r="R74" s="250"/>
      <c r="S74" s="250"/>
      <c r="T74" s="250"/>
      <c r="U74" s="250"/>
      <c r="V74" s="250"/>
      <c r="W74" s="250"/>
      <c r="X74" s="250"/>
      <c r="Y74" s="250"/>
      <c r="Z74" s="250"/>
      <c r="AA74" s="250"/>
      <c r="AB74" s="250"/>
      <c r="AC74" s="250"/>
      <c r="AD74" s="250"/>
      <c r="AE74" s="250"/>
      <c r="AF74" s="250"/>
      <c r="AG74"/>
    </row>
    <row r="75" spans="1:33" x14ac:dyDescent="0.2">
      <c r="A75" s="250"/>
      <c r="B75" s="7"/>
      <c r="C75" s="7"/>
      <c r="D75" s="38"/>
      <c r="E75" s="7"/>
      <c r="F75" s="8"/>
      <c r="G75" s="7"/>
      <c r="H75" s="38"/>
      <c r="I75" s="7"/>
      <c r="J75" s="18"/>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row>
    <row r="76" spans="1:33" s="41" customFormat="1" x14ac:dyDescent="0.2">
      <c r="A76" s="40"/>
      <c r="B76" s="45" t="s">
        <v>61</v>
      </c>
      <c r="C76" s="45"/>
      <c r="D76" s="58"/>
      <c r="E76" s="45"/>
      <c r="F76" s="46"/>
      <c r="G76" s="45"/>
      <c r="H76" s="58"/>
      <c r="I76" s="45"/>
      <c r="J76" s="47">
        <f>J14-J73</f>
        <v>-206.52896317690761</v>
      </c>
      <c r="K76" s="250"/>
      <c r="L76" s="250"/>
      <c r="M76" s="40"/>
      <c r="N76" s="40"/>
      <c r="O76" s="40"/>
      <c r="P76" s="40"/>
      <c r="Q76" s="40"/>
      <c r="R76" s="40"/>
      <c r="S76" s="40"/>
      <c r="T76" s="40"/>
      <c r="U76" s="40"/>
      <c r="V76" s="40"/>
      <c r="W76" s="40"/>
      <c r="X76" s="40"/>
      <c r="Y76" s="40"/>
      <c r="Z76" s="40"/>
      <c r="AA76" s="40"/>
      <c r="AB76" s="40"/>
      <c r="AC76" s="40"/>
      <c r="AD76" s="40"/>
      <c r="AE76" s="40"/>
      <c r="AF76" s="40"/>
      <c r="AG76" s="40"/>
    </row>
    <row r="77" spans="1:33" ht="8.25" customHeight="1" x14ac:dyDescent="0.2">
      <c r="B77" s="3"/>
      <c r="C77" s="3"/>
      <c r="D77" s="2"/>
      <c r="E77" s="3"/>
      <c r="F77" s="4"/>
      <c r="G77" s="3"/>
      <c r="H77" s="2"/>
      <c r="I77" s="3"/>
      <c r="J77" s="5"/>
      <c r="K77" s="1"/>
    </row>
    <row r="78" spans="1:33" s="202" customFormat="1" ht="15.75" customHeight="1" x14ac:dyDescent="0.2">
      <c r="A78" s="202" t="s">
        <v>324</v>
      </c>
      <c r="B78" s="403" t="s">
        <v>389</v>
      </c>
      <c r="C78" s="403"/>
      <c r="D78" s="403"/>
      <c r="E78" s="403"/>
      <c r="F78" s="403"/>
      <c r="G78" s="403"/>
      <c r="H78" s="403"/>
      <c r="I78" s="403"/>
      <c r="J78" s="403"/>
    </row>
    <row r="79" spans="1:33" s="202" customFormat="1" ht="16.5" customHeight="1" x14ac:dyDescent="0.2">
      <c r="B79" s="403" t="s">
        <v>390</v>
      </c>
      <c r="C79" s="403"/>
      <c r="D79" s="403"/>
      <c r="E79" s="403"/>
      <c r="F79" s="403"/>
      <c r="G79" s="403"/>
      <c r="H79" s="403"/>
      <c r="I79" s="403"/>
      <c r="J79" s="403"/>
    </row>
    <row r="80" spans="1:33" s="202" customFormat="1" ht="30" customHeight="1" x14ac:dyDescent="0.2">
      <c r="B80" s="399" t="s">
        <v>214</v>
      </c>
      <c r="C80" s="400"/>
      <c r="D80" s="400"/>
      <c r="E80" s="400"/>
      <c r="F80" s="400"/>
      <c r="G80" s="400"/>
      <c r="H80" s="400"/>
      <c r="I80" s="400"/>
      <c r="J80" s="400"/>
    </row>
    <row r="81" spans="4:8" s="34" customFormat="1" x14ac:dyDescent="0.2">
      <c r="D81" s="51"/>
      <c r="F81" s="35"/>
      <c r="H81" s="51"/>
    </row>
    <row r="82" spans="4:8" s="34" customFormat="1" x14ac:dyDescent="0.2">
      <c r="D82" s="51"/>
      <c r="F82" s="35"/>
      <c r="H82" s="51"/>
    </row>
    <row r="83" spans="4:8" s="34" customFormat="1" x14ac:dyDescent="0.2">
      <c r="D83" s="51"/>
      <c r="F83" s="35"/>
      <c r="H83" s="51"/>
    </row>
    <row r="84" spans="4:8" s="34" customFormat="1" x14ac:dyDescent="0.2">
      <c r="D84" s="51"/>
      <c r="F84" s="35"/>
      <c r="H84" s="51"/>
    </row>
    <row r="85" spans="4:8" s="34" customFormat="1" x14ac:dyDescent="0.2">
      <c r="D85" s="51"/>
      <c r="F85" s="35"/>
      <c r="H85" s="51"/>
    </row>
    <row r="86" spans="4:8" s="34" customFormat="1" x14ac:dyDescent="0.2">
      <c r="D86" s="51"/>
      <c r="F86" s="35"/>
      <c r="H86" s="51"/>
    </row>
    <row r="87" spans="4:8" s="34" customFormat="1" x14ac:dyDescent="0.2">
      <c r="D87" s="51"/>
      <c r="F87" s="35"/>
      <c r="H87" s="51"/>
    </row>
    <row r="88" spans="4:8" s="34" customFormat="1" x14ac:dyDescent="0.2">
      <c r="D88" s="51"/>
      <c r="F88" s="35"/>
      <c r="H88" s="51"/>
    </row>
    <row r="89" spans="4:8" s="34" customFormat="1" x14ac:dyDescent="0.2">
      <c r="D89" s="51"/>
      <c r="F89" s="35"/>
      <c r="H89" s="51"/>
    </row>
    <row r="90" spans="4:8" s="34" customFormat="1" x14ac:dyDescent="0.2">
      <c r="D90" s="51"/>
      <c r="F90" s="35"/>
      <c r="H90" s="51"/>
    </row>
    <row r="91" spans="4:8" s="34" customFormat="1" x14ac:dyDescent="0.2">
      <c r="D91" s="51"/>
      <c r="F91" s="35"/>
      <c r="H91" s="51"/>
    </row>
    <row r="92" spans="4:8" s="34" customFormat="1" x14ac:dyDescent="0.2">
      <c r="D92" s="51"/>
      <c r="F92" s="35"/>
      <c r="H92" s="51"/>
    </row>
    <row r="93" spans="4:8" s="34" customFormat="1" x14ac:dyDescent="0.2">
      <c r="D93" s="51"/>
      <c r="F93" s="35"/>
      <c r="H93" s="51"/>
    </row>
    <row r="94" spans="4:8" s="34" customFormat="1" x14ac:dyDescent="0.2">
      <c r="D94" s="51"/>
      <c r="F94" s="35"/>
      <c r="H94" s="51"/>
    </row>
    <row r="95" spans="4:8" s="34" customFormat="1" x14ac:dyDescent="0.2">
      <c r="D95" s="51"/>
      <c r="F95" s="35"/>
      <c r="H95" s="51"/>
    </row>
    <row r="96" spans="4:8" s="34" customFormat="1" x14ac:dyDescent="0.2">
      <c r="D96" s="51"/>
      <c r="F96" s="35"/>
      <c r="H96" s="51"/>
    </row>
    <row r="97" spans="4:8" s="34" customFormat="1" x14ac:dyDescent="0.2">
      <c r="D97" s="51"/>
      <c r="F97" s="35"/>
      <c r="H97" s="51"/>
    </row>
    <row r="98" spans="4:8" s="34" customFormat="1" x14ac:dyDescent="0.2">
      <c r="D98" s="51"/>
      <c r="F98" s="35"/>
      <c r="H98" s="51"/>
    </row>
    <row r="99" spans="4:8" s="34" customFormat="1" x14ac:dyDescent="0.2">
      <c r="D99" s="51"/>
      <c r="F99" s="35"/>
      <c r="H99" s="51"/>
    </row>
    <row r="100" spans="4:8" s="34" customFormat="1" x14ac:dyDescent="0.2">
      <c r="D100" s="51"/>
      <c r="F100" s="35"/>
      <c r="H100" s="51"/>
    </row>
    <row r="101" spans="4:8" s="34" customFormat="1" x14ac:dyDescent="0.2">
      <c r="D101" s="51"/>
      <c r="F101" s="35"/>
      <c r="H101" s="51"/>
    </row>
  </sheetData>
  <mergeCells count="7">
    <mergeCell ref="B80:J80"/>
    <mergeCell ref="B8:J8"/>
    <mergeCell ref="B78:J78"/>
    <mergeCell ref="B79:J79"/>
    <mergeCell ref="B59:D59"/>
    <mergeCell ref="B60:D60"/>
    <mergeCell ref="B61:D61"/>
  </mergeCells>
  <phoneticPr fontId="5" type="noConversion"/>
  <printOptions horizontalCentered="1"/>
  <pageMargins left="0.75" right="0.75" top="1" bottom="1" header="0" footer="0.5"/>
  <pageSetup scale="98" fitToHeight="2" orientation="portrait" r:id="rId1"/>
  <headerFooter alignWithMargins="0">
    <oddFooter>&amp;L&amp;A&amp;C&amp;F&amp;R&amp;D</oddFooter>
  </headerFooter>
  <rowBreaks count="1" manualBreakCount="1">
    <brk id="56" min="1" max="9" man="1"/>
  </rowBreaks>
  <ignoredErrors>
    <ignoredError sqref="J47"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4"/>
  <sheetViews>
    <sheetView topLeftCell="A4" workbookViewId="0">
      <selection activeCell="J46" sqref="J46"/>
    </sheetView>
  </sheetViews>
  <sheetFormatPr defaultColWidth="8.7109375" defaultRowHeight="12.75" x14ac:dyDescent="0.2"/>
  <cols>
    <col min="1" max="1" width="4.28515625" style="206" customWidth="1"/>
    <col min="2" max="2" width="11" customWidth="1"/>
    <col min="3" max="3" width="20.140625" customWidth="1"/>
    <col min="4" max="4" width="34.7109375" customWidth="1"/>
    <col min="5" max="5" width="35.28515625" customWidth="1"/>
    <col min="6" max="26" width="8.7109375" style="206" customWidth="1"/>
    <col min="257" max="257" width="4.28515625" customWidth="1"/>
    <col min="258" max="258" width="11" customWidth="1"/>
    <col min="259" max="259" width="20.140625" customWidth="1"/>
    <col min="260" max="260" width="25.42578125" customWidth="1"/>
    <col min="261" max="261" width="40.42578125" customWidth="1"/>
    <col min="262" max="282" width="8.7109375" customWidth="1"/>
    <col min="513" max="513" width="4.28515625" customWidth="1"/>
    <col min="514" max="514" width="11" customWidth="1"/>
    <col min="515" max="515" width="20.140625" customWidth="1"/>
    <col min="516" max="516" width="25.42578125" customWidth="1"/>
    <col min="517" max="517" width="40.42578125" customWidth="1"/>
    <col min="518" max="538" width="8.7109375" customWidth="1"/>
    <col min="769" max="769" width="4.28515625" customWidth="1"/>
    <col min="770" max="770" width="11" customWidth="1"/>
    <col min="771" max="771" width="20.140625" customWidth="1"/>
    <col min="772" max="772" width="25.42578125" customWidth="1"/>
    <col min="773" max="773" width="40.42578125" customWidth="1"/>
    <col min="774" max="794" width="8.7109375" customWidth="1"/>
    <col min="1025" max="1025" width="4.28515625" customWidth="1"/>
    <col min="1026" max="1026" width="11" customWidth="1"/>
    <col min="1027" max="1027" width="20.140625" customWidth="1"/>
    <col min="1028" max="1028" width="25.42578125" customWidth="1"/>
    <col min="1029" max="1029" width="40.42578125" customWidth="1"/>
    <col min="1030" max="1050" width="8.7109375" customWidth="1"/>
    <col min="1281" max="1281" width="4.28515625" customWidth="1"/>
    <col min="1282" max="1282" width="11" customWidth="1"/>
    <col min="1283" max="1283" width="20.140625" customWidth="1"/>
    <col min="1284" max="1284" width="25.42578125" customWidth="1"/>
    <col min="1285" max="1285" width="40.42578125" customWidth="1"/>
    <col min="1286" max="1306" width="8.7109375" customWidth="1"/>
    <col min="1537" max="1537" width="4.28515625" customWidth="1"/>
    <col min="1538" max="1538" width="11" customWidth="1"/>
    <col min="1539" max="1539" width="20.140625" customWidth="1"/>
    <col min="1540" max="1540" width="25.42578125" customWidth="1"/>
    <col min="1541" max="1541" width="40.42578125" customWidth="1"/>
    <col min="1542" max="1562" width="8.7109375" customWidth="1"/>
    <col min="1793" max="1793" width="4.28515625" customWidth="1"/>
    <col min="1794" max="1794" width="11" customWidth="1"/>
    <col min="1795" max="1795" width="20.140625" customWidth="1"/>
    <col min="1796" max="1796" width="25.42578125" customWidth="1"/>
    <col min="1797" max="1797" width="40.42578125" customWidth="1"/>
    <col min="1798" max="1818" width="8.7109375" customWidth="1"/>
    <col min="2049" max="2049" width="4.28515625" customWidth="1"/>
    <col min="2050" max="2050" width="11" customWidth="1"/>
    <col min="2051" max="2051" width="20.140625" customWidth="1"/>
    <col min="2052" max="2052" width="25.42578125" customWidth="1"/>
    <col min="2053" max="2053" width="40.42578125" customWidth="1"/>
    <col min="2054" max="2074" width="8.7109375" customWidth="1"/>
    <col min="2305" max="2305" width="4.28515625" customWidth="1"/>
    <col min="2306" max="2306" width="11" customWidth="1"/>
    <col min="2307" max="2307" width="20.140625" customWidth="1"/>
    <col min="2308" max="2308" width="25.42578125" customWidth="1"/>
    <col min="2309" max="2309" width="40.42578125" customWidth="1"/>
    <col min="2310" max="2330" width="8.7109375" customWidth="1"/>
    <col min="2561" max="2561" width="4.28515625" customWidth="1"/>
    <col min="2562" max="2562" width="11" customWidth="1"/>
    <col min="2563" max="2563" width="20.140625" customWidth="1"/>
    <col min="2564" max="2564" width="25.42578125" customWidth="1"/>
    <col min="2565" max="2565" width="40.42578125" customWidth="1"/>
    <col min="2566" max="2586" width="8.7109375" customWidth="1"/>
    <col min="2817" max="2817" width="4.28515625" customWidth="1"/>
    <col min="2818" max="2818" width="11" customWidth="1"/>
    <col min="2819" max="2819" width="20.140625" customWidth="1"/>
    <col min="2820" max="2820" width="25.42578125" customWidth="1"/>
    <col min="2821" max="2821" width="40.42578125" customWidth="1"/>
    <col min="2822" max="2842" width="8.7109375" customWidth="1"/>
    <col min="3073" max="3073" width="4.28515625" customWidth="1"/>
    <col min="3074" max="3074" width="11" customWidth="1"/>
    <col min="3075" max="3075" width="20.140625" customWidth="1"/>
    <col min="3076" max="3076" width="25.42578125" customWidth="1"/>
    <col min="3077" max="3077" width="40.42578125" customWidth="1"/>
    <col min="3078" max="3098" width="8.7109375" customWidth="1"/>
    <col min="3329" max="3329" width="4.28515625" customWidth="1"/>
    <col min="3330" max="3330" width="11" customWidth="1"/>
    <col min="3331" max="3331" width="20.140625" customWidth="1"/>
    <col min="3332" max="3332" width="25.42578125" customWidth="1"/>
    <col min="3333" max="3333" width="40.42578125" customWidth="1"/>
    <col min="3334" max="3354" width="8.7109375" customWidth="1"/>
    <col min="3585" max="3585" width="4.28515625" customWidth="1"/>
    <col min="3586" max="3586" width="11" customWidth="1"/>
    <col min="3587" max="3587" width="20.140625" customWidth="1"/>
    <col min="3588" max="3588" width="25.42578125" customWidth="1"/>
    <col min="3589" max="3589" width="40.42578125" customWidth="1"/>
    <col min="3590" max="3610" width="8.7109375" customWidth="1"/>
    <col min="3841" max="3841" width="4.28515625" customWidth="1"/>
    <col min="3842" max="3842" width="11" customWidth="1"/>
    <col min="3843" max="3843" width="20.140625" customWidth="1"/>
    <col min="3844" max="3844" width="25.42578125" customWidth="1"/>
    <col min="3845" max="3845" width="40.42578125" customWidth="1"/>
    <col min="3846" max="3866" width="8.7109375" customWidth="1"/>
    <col min="4097" max="4097" width="4.28515625" customWidth="1"/>
    <col min="4098" max="4098" width="11" customWidth="1"/>
    <col min="4099" max="4099" width="20.140625" customWidth="1"/>
    <col min="4100" max="4100" width="25.42578125" customWidth="1"/>
    <col min="4101" max="4101" width="40.42578125" customWidth="1"/>
    <col min="4102" max="4122" width="8.7109375" customWidth="1"/>
    <col min="4353" max="4353" width="4.28515625" customWidth="1"/>
    <col min="4354" max="4354" width="11" customWidth="1"/>
    <col min="4355" max="4355" width="20.140625" customWidth="1"/>
    <col min="4356" max="4356" width="25.42578125" customWidth="1"/>
    <col min="4357" max="4357" width="40.42578125" customWidth="1"/>
    <col min="4358" max="4378" width="8.7109375" customWidth="1"/>
    <col min="4609" max="4609" width="4.28515625" customWidth="1"/>
    <col min="4610" max="4610" width="11" customWidth="1"/>
    <col min="4611" max="4611" width="20.140625" customWidth="1"/>
    <col min="4612" max="4612" width="25.42578125" customWidth="1"/>
    <col min="4613" max="4613" width="40.42578125" customWidth="1"/>
    <col min="4614" max="4634" width="8.7109375" customWidth="1"/>
    <col min="4865" max="4865" width="4.28515625" customWidth="1"/>
    <col min="4866" max="4866" width="11" customWidth="1"/>
    <col min="4867" max="4867" width="20.140625" customWidth="1"/>
    <col min="4868" max="4868" width="25.42578125" customWidth="1"/>
    <col min="4869" max="4869" width="40.42578125" customWidth="1"/>
    <col min="4870" max="4890" width="8.7109375" customWidth="1"/>
    <col min="5121" max="5121" width="4.28515625" customWidth="1"/>
    <col min="5122" max="5122" width="11" customWidth="1"/>
    <col min="5123" max="5123" width="20.140625" customWidth="1"/>
    <col min="5124" max="5124" width="25.42578125" customWidth="1"/>
    <col min="5125" max="5125" width="40.42578125" customWidth="1"/>
    <col min="5126" max="5146" width="8.7109375" customWidth="1"/>
    <col min="5377" max="5377" width="4.28515625" customWidth="1"/>
    <col min="5378" max="5378" width="11" customWidth="1"/>
    <col min="5379" max="5379" width="20.140625" customWidth="1"/>
    <col min="5380" max="5380" width="25.42578125" customWidth="1"/>
    <col min="5381" max="5381" width="40.42578125" customWidth="1"/>
    <col min="5382" max="5402" width="8.7109375" customWidth="1"/>
    <col min="5633" max="5633" width="4.28515625" customWidth="1"/>
    <col min="5634" max="5634" width="11" customWidth="1"/>
    <col min="5635" max="5635" width="20.140625" customWidth="1"/>
    <col min="5636" max="5636" width="25.42578125" customWidth="1"/>
    <col min="5637" max="5637" width="40.42578125" customWidth="1"/>
    <col min="5638" max="5658" width="8.7109375" customWidth="1"/>
    <col min="5889" max="5889" width="4.28515625" customWidth="1"/>
    <col min="5890" max="5890" width="11" customWidth="1"/>
    <col min="5891" max="5891" width="20.140625" customWidth="1"/>
    <col min="5892" max="5892" width="25.42578125" customWidth="1"/>
    <col min="5893" max="5893" width="40.42578125" customWidth="1"/>
    <col min="5894" max="5914" width="8.7109375" customWidth="1"/>
    <col min="6145" max="6145" width="4.28515625" customWidth="1"/>
    <col min="6146" max="6146" width="11" customWidth="1"/>
    <col min="6147" max="6147" width="20.140625" customWidth="1"/>
    <col min="6148" max="6148" width="25.42578125" customWidth="1"/>
    <col min="6149" max="6149" width="40.42578125" customWidth="1"/>
    <col min="6150" max="6170" width="8.7109375" customWidth="1"/>
    <col min="6401" max="6401" width="4.28515625" customWidth="1"/>
    <col min="6402" max="6402" width="11" customWidth="1"/>
    <col min="6403" max="6403" width="20.140625" customWidth="1"/>
    <col min="6404" max="6404" width="25.42578125" customWidth="1"/>
    <col min="6405" max="6405" width="40.42578125" customWidth="1"/>
    <col min="6406" max="6426" width="8.7109375" customWidth="1"/>
    <col min="6657" max="6657" width="4.28515625" customWidth="1"/>
    <col min="6658" max="6658" width="11" customWidth="1"/>
    <col min="6659" max="6659" width="20.140625" customWidth="1"/>
    <col min="6660" max="6660" width="25.42578125" customWidth="1"/>
    <col min="6661" max="6661" width="40.42578125" customWidth="1"/>
    <col min="6662" max="6682" width="8.7109375" customWidth="1"/>
    <col min="6913" max="6913" width="4.28515625" customWidth="1"/>
    <col min="6914" max="6914" width="11" customWidth="1"/>
    <col min="6915" max="6915" width="20.140625" customWidth="1"/>
    <col min="6916" max="6916" width="25.42578125" customWidth="1"/>
    <col min="6917" max="6917" width="40.42578125" customWidth="1"/>
    <col min="6918" max="6938" width="8.7109375" customWidth="1"/>
    <col min="7169" max="7169" width="4.28515625" customWidth="1"/>
    <col min="7170" max="7170" width="11" customWidth="1"/>
    <col min="7171" max="7171" width="20.140625" customWidth="1"/>
    <col min="7172" max="7172" width="25.42578125" customWidth="1"/>
    <col min="7173" max="7173" width="40.42578125" customWidth="1"/>
    <col min="7174" max="7194" width="8.7109375" customWidth="1"/>
    <col min="7425" max="7425" width="4.28515625" customWidth="1"/>
    <col min="7426" max="7426" width="11" customWidth="1"/>
    <col min="7427" max="7427" width="20.140625" customWidth="1"/>
    <col min="7428" max="7428" width="25.42578125" customWidth="1"/>
    <col min="7429" max="7429" width="40.42578125" customWidth="1"/>
    <col min="7430" max="7450" width="8.7109375" customWidth="1"/>
    <col min="7681" max="7681" width="4.28515625" customWidth="1"/>
    <col min="7682" max="7682" width="11" customWidth="1"/>
    <col min="7683" max="7683" width="20.140625" customWidth="1"/>
    <col min="7684" max="7684" width="25.42578125" customWidth="1"/>
    <col min="7685" max="7685" width="40.42578125" customWidth="1"/>
    <col min="7686" max="7706" width="8.7109375" customWidth="1"/>
    <col min="7937" max="7937" width="4.28515625" customWidth="1"/>
    <col min="7938" max="7938" width="11" customWidth="1"/>
    <col min="7939" max="7939" width="20.140625" customWidth="1"/>
    <col min="7940" max="7940" width="25.42578125" customWidth="1"/>
    <col min="7941" max="7941" width="40.42578125" customWidth="1"/>
    <col min="7942" max="7962" width="8.7109375" customWidth="1"/>
    <col min="8193" max="8193" width="4.28515625" customWidth="1"/>
    <col min="8194" max="8194" width="11" customWidth="1"/>
    <col min="8195" max="8195" width="20.140625" customWidth="1"/>
    <col min="8196" max="8196" width="25.42578125" customWidth="1"/>
    <col min="8197" max="8197" width="40.42578125" customWidth="1"/>
    <col min="8198" max="8218" width="8.7109375" customWidth="1"/>
    <col min="8449" max="8449" width="4.28515625" customWidth="1"/>
    <col min="8450" max="8450" width="11" customWidth="1"/>
    <col min="8451" max="8451" width="20.140625" customWidth="1"/>
    <col min="8452" max="8452" width="25.42578125" customWidth="1"/>
    <col min="8453" max="8453" width="40.42578125" customWidth="1"/>
    <col min="8454" max="8474" width="8.7109375" customWidth="1"/>
    <col min="8705" max="8705" width="4.28515625" customWidth="1"/>
    <col min="8706" max="8706" width="11" customWidth="1"/>
    <col min="8707" max="8707" width="20.140625" customWidth="1"/>
    <col min="8708" max="8708" width="25.42578125" customWidth="1"/>
    <col min="8709" max="8709" width="40.42578125" customWidth="1"/>
    <col min="8710" max="8730" width="8.7109375" customWidth="1"/>
    <col min="8961" max="8961" width="4.28515625" customWidth="1"/>
    <col min="8962" max="8962" width="11" customWidth="1"/>
    <col min="8963" max="8963" width="20.140625" customWidth="1"/>
    <col min="8964" max="8964" width="25.42578125" customWidth="1"/>
    <col min="8965" max="8965" width="40.42578125" customWidth="1"/>
    <col min="8966" max="8986" width="8.7109375" customWidth="1"/>
    <col min="9217" max="9217" width="4.28515625" customWidth="1"/>
    <col min="9218" max="9218" width="11" customWidth="1"/>
    <col min="9219" max="9219" width="20.140625" customWidth="1"/>
    <col min="9220" max="9220" width="25.42578125" customWidth="1"/>
    <col min="9221" max="9221" width="40.42578125" customWidth="1"/>
    <col min="9222" max="9242" width="8.7109375" customWidth="1"/>
    <col min="9473" max="9473" width="4.28515625" customWidth="1"/>
    <col min="9474" max="9474" width="11" customWidth="1"/>
    <col min="9475" max="9475" width="20.140625" customWidth="1"/>
    <col min="9476" max="9476" width="25.42578125" customWidth="1"/>
    <col min="9477" max="9477" width="40.42578125" customWidth="1"/>
    <col min="9478" max="9498" width="8.7109375" customWidth="1"/>
    <col min="9729" max="9729" width="4.28515625" customWidth="1"/>
    <col min="9730" max="9730" width="11" customWidth="1"/>
    <col min="9731" max="9731" width="20.140625" customWidth="1"/>
    <col min="9732" max="9732" width="25.42578125" customWidth="1"/>
    <col min="9733" max="9733" width="40.42578125" customWidth="1"/>
    <col min="9734" max="9754" width="8.7109375" customWidth="1"/>
    <col min="9985" max="9985" width="4.28515625" customWidth="1"/>
    <col min="9986" max="9986" width="11" customWidth="1"/>
    <col min="9987" max="9987" width="20.140625" customWidth="1"/>
    <col min="9988" max="9988" width="25.42578125" customWidth="1"/>
    <col min="9989" max="9989" width="40.42578125" customWidth="1"/>
    <col min="9990" max="10010" width="8.7109375" customWidth="1"/>
    <col min="10241" max="10241" width="4.28515625" customWidth="1"/>
    <col min="10242" max="10242" width="11" customWidth="1"/>
    <col min="10243" max="10243" width="20.140625" customWidth="1"/>
    <col min="10244" max="10244" width="25.42578125" customWidth="1"/>
    <col min="10245" max="10245" width="40.42578125" customWidth="1"/>
    <col min="10246" max="10266" width="8.7109375" customWidth="1"/>
    <col min="10497" max="10497" width="4.28515625" customWidth="1"/>
    <col min="10498" max="10498" width="11" customWidth="1"/>
    <col min="10499" max="10499" width="20.140625" customWidth="1"/>
    <col min="10500" max="10500" width="25.42578125" customWidth="1"/>
    <col min="10501" max="10501" width="40.42578125" customWidth="1"/>
    <col min="10502" max="10522" width="8.7109375" customWidth="1"/>
    <col min="10753" max="10753" width="4.28515625" customWidth="1"/>
    <col min="10754" max="10754" width="11" customWidth="1"/>
    <col min="10755" max="10755" width="20.140625" customWidth="1"/>
    <col min="10756" max="10756" width="25.42578125" customWidth="1"/>
    <col min="10757" max="10757" width="40.42578125" customWidth="1"/>
    <col min="10758" max="10778" width="8.7109375" customWidth="1"/>
    <col min="11009" max="11009" width="4.28515625" customWidth="1"/>
    <col min="11010" max="11010" width="11" customWidth="1"/>
    <col min="11011" max="11011" width="20.140625" customWidth="1"/>
    <col min="11012" max="11012" width="25.42578125" customWidth="1"/>
    <col min="11013" max="11013" width="40.42578125" customWidth="1"/>
    <col min="11014" max="11034" width="8.7109375" customWidth="1"/>
    <col min="11265" max="11265" width="4.28515625" customWidth="1"/>
    <col min="11266" max="11266" width="11" customWidth="1"/>
    <col min="11267" max="11267" width="20.140625" customWidth="1"/>
    <col min="11268" max="11268" width="25.42578125" customWidth="1"/>
    <col min="11269" max="11269" width="40.42578125" customWidth="1"/>
    <col min="11270" max="11290" width="8.7109375" customWidth="1"/>
    <col min="11521" max="11521" width="4.28515625" customWidth="1"/>
    <col min="11522" max="11522" width="11" customWidth="1"/>
    <col min="11523" max="11523" width="20.140625" customWidth="1"/>
    <col min="11524" max="11524" width="25.42578125" customWidth="1"/>
    <col min="11525" max="11525" width="40.42578125" customWidth="1"/>
    <col min="11526" max="11546" width="8.7109375" customWidth="1"/>
    <col min="11777" max="11777" width="4.28515625" customWidth="1"/>
    <col min="11778" max="11778" width="11" customWidth="1"/>
    <col min="11779" max="11779" width="20.140625" customWidth="1"/>
    <col min="11780" max="11780" width="25.42578125" customWidth="1"/>
    <col min="11781" max="11781" width="40.42578125" customWidth="1"/>
    <col min="11782" max="11802" width="8.7109375" customWidth="1"/>
    <col min="12033" max="12033" width="4.28515625" customWidth="1"/>
    <col min="12034" max="12034" width="11" customWidth="1"/>
    <col min="12035" max="12035" width="20.140625" customWidth="1"/>
    <col min="12036" max="12036" width="25.42578125" customWidth="1"/>
    <col min="12037" max="12037" width="40.42578125" customWidth="1"/>
    <col min="12038" max="12058" width="8.7109375" customWidth="1"/>
    <col min="12289" max="12289" width="4.28515625" customWidth="1"/>
    <col min="12290" max="12290" width="11" customWidth="1"/>
    <col min="12291" max="12291" width="20.140625" customWidth="1"/>
    <col min="12292" max="12292" width="25.42578125" customWidth="1"/>
    <col min="12293" max="12293" width="40.42578125" customWidth="1"/>
    <col min="12294" max="12314" width="8.7109375" customWidth="1"/>
    <col min="12545" max="12545" width="4.28515625" customWidth="1"/>
    <col min="12546" max="12546" width="11" customWidth="1"/>
    <col min="12547" max="12547" width="20.140625" customWidth="1"/>
    <col min="12548" max="12548" width="25.42578125" customWidth="1"/>
    <col min="12549" max="12549" width="40.42578125" customWidth="1"/>
    <col min="12550" max="12570" width="8.7109375" customWidth="1"/>
    <col min="12801" max="12801" width="4.28515625" customWidth="1"/>
    <col min="12802" max="12802" width="11" customWidth="1"/>
    <col min="12803" max="12803" width="20.140625" customWidth="1"/>
    <col min="12804" max="12804" width="25.42578125" customWidth="1"/>
    <col min="12805" max="12805" width="40.42578125" customWidth="1"/>
    <col min="12806" max="12826" width="8.7109375" customWidth="1"/>
    <col min="13057" max="13057" width="4.28515625" customWidth="1"/>
    <col min="13058" max="13058" width="11" customWidth="1"/>
    <col min="13059" max="13059" width="20.140625" customWidth="1"/>
    <col min="13060" max="13060" width="25.42578125" customWidth="1"/>
    <col min="13061" max="13061" width="40.42578125" customWidth="1"/>
    <col min="13062" max="13082" width="8.7109375" customWidth="1"/>
    <col min="13313" max="13313" width="4.28515625" customWidth="1"/>
    <col min="13314" max="13314" width="11" customWidth="1"/>
    <col min="13315" max="13315" width="20.140625" customWidth="1"/>
    <col min="13316" max="13316" width="25.42578125" customWidth="1"/>
    <col min="13317" max="13317" width="40.42578125" customWidth="1"/>
    <col min="13318" max="13338" width="8.7109375" customWidth="1"/>
    <col min="13569" max="13569" width="4.28515625" customWidth="1"/>
    <col min="13570" max="13570" width="11" customWidth="1"/>
    <col min="13571" max="13571" width="20.140625" customWidth="1"/>
    <col min="13572" max="13572" width="25.42578125" customWidth="1"/>
    <col min="13573" max="13573" width="40.42578125" customWidth="1"/>
    <col min="13574" max="13594" width="8.7109375" customWidth="1"/>
    <col min="13825" max="13825" width="4.28515625" customWidth="1"/>
    <col min="13826" max="13826" width="11" customWidth="1"/>
    <col min="13827" max="13827" width="20.140625" customWidth="1"/>
    <col min="13828" max="13828" width="25.42578125" customWidth="1"/>
    <col min="13829" max="13829" width="40.42578125" customWidth="1"/>
    <col min="13830" max="13850" width="8.7109375" customWidth="1"/>
    <col min="14081" max="14081" width="4.28515625" customWidth="1"/>
    <col min="14082" max="14082" width="11" customWidth="1"/>
    <col min="14083" max="14083" width="20.140625" customWidth="1"/>
    <col min="14084" max="14084" width="25.42578125" customWidth="1"/>
    <col min="14085" max="14085" width="40.42578125" customWidth="1"/>
    <col min="14086" max="14106" width="8.7109375" customWidth="1"/>
    <col min="14337" max="14337" width="4.28515625" customWidth="1"/>
    <col min="14338" max="14338" width="11" customWidth="1"/>
    <col min="14339" max="14339" width="20.140625" customWidth="1"/>
    <col min="14340" max="14340" width="25.42578125" customWidth="1"/>
    <col min="14341" max="14341" width="40.42578125" customWidth="1"/>
    <col min="14342" max="14362" width="8.7109375" customWidth="1"/>
    <col min="14593" max="14593" width="4.28515625" customWidth="1"/>
    <col min="14594" max="14594" width="11" customWidth="1"/>
    <col min="14595" max="14595" width="20.140625" customWidth="1"/>
    <col min="14596" max="14596" width="25.42578125" customWidth="1"/>
    <col min="14597" max="14597" width="40.42578125" customWidth="1"/>
    <col min="14598" max="14618" width="8.7109375" customWidth="1"/>
    <col min="14849" max="14849" width="4.28515625" customWidth="1"/>
    <col min="14850" max="14850" width="11" customWidth="1"/>
    <col min="14851" max="14851" width="20.140625" customWidth="1"/>
    <col min="14852" max="14852" width="25.42578125" customWidth="1"/>
    <col min="14853" max="14853" width="40.42578125" customWidth="1"/>
    <col min="14854" max="14874" width="8.7109375" customWidth="1"/>
    <col min="15105" max="15105" width="4.28515625" customWidth="1"/>
    <col min="15106" max="15106" width="11" customWidth="1"/>
    <col min="15107" max="15107" width="20.140625" customWidth="1"/>
    <col min="15108" max="15108" width="25.42578125" customWidth="1"/>
    <col min="15109" max="15109" width="40.42578125" customWidth="1"/>
    <col min="15110" max="15130" width="8.7109375" customWidth="1"/>
    <col min="15361" max="15361" width="4.28515625" customWidth="1"/>
    <col min="15362" max="15362" width="11" customWidth="1"/>
    <col min="15363" max="15363" width="20.140625" customWidth="1"/>
    <col min="15364" max="15364" width="25.42578125" customWidth="1"/>
    <col min="15365" max="15365" width="40.42578125" customWidth="1"/>
    <col min="15366" max="15386" width="8.7109375" customWidth="1"/>
    <col min="15617" max="15617" width="4.28515625" customWidth="1"/>
    <col min="15618" max="15618" width="11" customWidth="1"/>
    <col min="15619" max="15619" width="20.140625" customWidth="1"/>
    <col min="15620" max="15620" width="25.42578125" customWidth="1"/>
    <col min="15621" max="15621" width="40.42578125" customWidth="1"/>
    <col min="15622" max="15642" width="8.7109375" customWidth="1"/>
    <col min="15873" max="15873" width="4.28515625" customWidth="1"/>
    <col min="15874" max="15874" width="11" customWidth="1"/>
    <col min="15875" max="15875" width="20.140625" customWidth="1"/>
    <col min="15876" max="15876" width="25.42578125" customWidth="1"/>
    <col min="15877" max="15877" width="40.42578125" customWidth="1"/>
    <col min="15878" max="15898" width="8.7109375" customWidth="1"/>
    <col min="16129" max="16129" width="4.28515625" customWidth="1"/>
    <col min="16130" max="16130" width="11" customWidth="1"/>
    <col min="16131" max="16131" width="20.140625" customWidth="1"/>
    <col min="16132" max="16132" width="25.42578125" customWidth="1"/>
    <col min="16133" max="16133" width="40.42578125" customWidth="1"/>
    <col min="16134" max="16154" width="8.7109375" customWidth="1"/>
  </cols>
  <sheetData>
    <row r="1" spans="1:26" x14ac:dyDescent="0.2">
      <c r="B1" s="206"/>
      <c r="C1" s="206"/>
      <c r="D1" s="51"/>
      <c r="E1" s="206"/>
      <c r="F1" s="35"/>
      <c r="H1" s="51"/>
    </row>
    <row r="2" spans="1:26" ht="15.75" x14ac:dyDescent="0.25">
      <c r="B2" s="222" t="s">
        <v>393</v>
      </c>
      <c r="C2" s="223"/>
      <c r="D2" s="223"/>
      <c r="E2" s="223"/>
    </row>
    <row r="3" spans="1:26" ht="7.5" customHeight="1" x14ac:dyDescent="0.25">
      <c r="B3" s="224"/>
      <c r="C3" s="225"/>
      <c r="D3" s="225"/>
      <c r="E3" s="225"/>
    </row>
    <row r="4" spans="1:26" ht="25.5" customHeight="1" x14ac:dyDescent="0.2">
      <c r="A4" s="250"/>
      <c r="B4" s="144" t="s">
        <v>176</v>
      </c>
      <c r="C4" s="144" t="s">
        <v>177</v>
      </c>
      <c r="D4" s="144" t="s">
        <v>178</v>
      </c>
      <c r="E4" s="144" t="s">
        <v>179</v>
      </c>
      <c r="F4" s="250"/>
      <c r="G4" s="250"/>
      <c r="H4" s="250"/>
      <c r="I4" s="250"/>
      <c r="J4" s="250"/>
      <c r="K4" s="250"/>
      <c r="L4" s="250"/>
      <c r="M4" s="250"/>
      <c r="N4" s="250"/>
      <c r="O4" s="250"/>
      <c r="P4" s="250"/>
      <c r="Q4" s="250"/>
      <c r="R4" s="250"/>
      <c r="S4" s="250"/>
      <c r="T4" s="250"/>
      <c r="U4" s="250"/>
      <c r="V4" s="250"/>
      <c r="W4" s="250"/>
      <c r="X4" s="250"/>
      <c r="Y4" s="250"/>
      <c r="Z4" s="250"/>
    </row>
    <row r="5" spans="1:26" x14ac:dyDescent="0.2">
      <c r="A5" s="250"/>
      <c r="B5" s="279"/>
      <c r="C5" s="33"/>
      <c r="D5" s="33"/>
      <c r="E5" s="33"/>
      <c r="F5" s="250"/>
      <c r="G5" s="250"/>
      <c r="H5" s="250"/>
      <c r="I5" s="250"/>
      <c r="J5" s="250"/>
      <c r="K5" s="250"/>
      <c r="L5" s="250"/>
      <c r="M5" s="250"/>
      <c r="N5" s="250"/>
      <c r="O5" s="250"/>
      <c r="P5" s="250"/>
      <c r="Q5" s="250"/>
      <c r="R5" s="250"/>
      <c r="S5" s="250"/>
      <c r="T5" s="250"/>
      <c r="U5" s="250"/>
      <c r="V5" s="250"/>
      <c r="W5" s="250"/>
      <c r="X5" s="250"/>
      <c r="Y5" s="250"/>
      <c r="Z5" s="250"/>
    </row>
    <row r="6" spans="1:26" x14ac:dyDescent="0.2">
      <c r="A6" s="250"/>
      <c r="B6" s="3" t="s">
        <v>247</v>
      </c>
      <c r="C6" s="278" t="s">
        <v>245</v>
      </c>
      <c r="D6" s="278" t="s">
        <v>385</v>
      </c>
      <c r="E6" s="278" t="s">
        <v>382</v>
      </c>
      <c r="F6" s="250"/>
      <c r="G6" s="250"/>
      <c r="H6" s="250"/>
      <c r="I6" s="250"/>
      <c r="J6" s="250"/>
      <c r="K6" s="250"/>
      <c r="L6" s="250"/>
      <c r="M6" s="250"/>
      <c r="N6" s="250"/>
      <c r="O6" s="250"/>
      <c r="P6" s="250"/>
      <c r="Q6" s="250"/>
      <c r="R6" s="250"/>
      <c r="S6" s="250"/>
      <c r="T6" s="250"/>
      <c r="U6" s="250"/>
      <c r="V6" s="250"/>
      <c r="W6" s="250"/>
      <c r="X6" s="250"/>
      <c r="Y6" s="250"/>
      <c r="Z6" s="250"/>
    </row>
    <row r="7" spans="1:26" x14ac:dyDescent="0.2">
      <c r="A7" s="250"/>
      <c r="B7" s="379"/>
      <c r="C7" s="379"/>
      <c r="D7" s="379"/>
      <c r="E7" s="379"/>
      <c r="F7" s="250"/>
      <c r="G7" s="250"/>
      <c r="H7" s="250"/>
      <c r="I7" s="250"/>
      <c r="J7" s="250"/>
      <c r="K7" s="250"/>
      <c r="L7" s="250"/>
      <c r="M7" s="250"/>
      <c r="N7" s="250"/>
      <c r="O7" s="250"/>
      <c r="P7" s="250"/>
      <c r="Q7" s="250"/>
      <c r="R7" s="250"/>
      <c r="S7" s="250"/>
      <c r="T7" s="250"/>
      <c r="U7" s="250"/>
      <c r="V7" s="250"/>
      <c r="W7" s="250"/>
      <c r="X7" s="250"/>
      <c r="Y7" s="250"/>
      <c r="Z7" s="250"/>
    </row>
    <row r="8" spans="1:26" x14ac:dyDescent="0.2">
      <c r="A8" s="250"/>
      <c r="B8" s="379" t="s">
        <v>379</v>
      </c>
      <c r="C8" s="379" t="s">
        <v>380</v>
      </c>
      <c r="D8" s="379" t="s">
        <v>384</v>
      </c>
      <c r="E8" s="379" t="s">
        <v>381</v>
      </c>
      <c r="F8" s="250"/>
      <c r="G8" s="250"/>
      <c r="H8" s="250"/>
      <c r="I8" s="250"/>
      <c r="J8" s="250"/>
      <c r="K8" s="250"/>
      <c r="L8" s="250"/>
      <c r="M8" s="250"/>
      <c r="N8" s="250"/>
      <c r="O8" s="250"/>
      <c r="P8" s="250"/>
      <c r="Q8" s="250"/>
      <c r="R8" s="250"/>
      <c r="S8" s="250"/>
      <c r="T8" s="250"/>
      <c r="U8" s="250"/>
      <c r="V8" s="250"/>
      <c r="W8" s="250"/>
      <c r="X8" s="250"/>
      <c r="Y8" s="250"/>
      <c r="Z8" s="250"/>
    </row>
    <row r="9" spans="1:26" x14ac:dyDescent="0.2">
      <c r="A9" s="250"/>
      <c r="B9" s="279"/>
      <c r="C9" s="33"/>
      <c r="D9" s="33"/>
      <c r="E9" s="33"/>
      <c r="F9" s="250"/>
      <c r="G9" s="250"/>
      <c r="H9" s="250"/>
      <c r="I9" s="250"/>
      <c r="J9" s="250"/>
      <c r="K9" s="250"/>
      <c r="L9" s="250"/>
      <c r="M9" s="250"/>
      <c r="N9" s="250"/>
      <c r="O9" s="250"/>
      <c r="P9" s="250"/>
      <c r="Q9" s="250"/>
      <c r="R9" s="250"/>
      <c r="S9" s="250"/>
      <c r="T9" s="250"/>
      <c r="U9" s="250"/>
      <c r="V9" s="250"/>
      <c r="W9" s="250"/>
      <c r="X9" s="250"/>
      <c r="Y9" s="250"/>
      <c r="Z9" s="250"/>
    </row>
    <row r="10" spans="1:26" x14ac:dyDescent="0.2">
      <c r="A10" s="250"/>
      <c r="B10" s="3" t="s">
        <v>354</v>
      </c>
      <c r="C10" s="278" t="s">
        <v>248</v>
      </c>
      <c r="D10" s="278" t="s">
        <v>250</v>
      </c>
      <c r="E10" s="3"/>
      <c r="F10" s="250"/>
      <c r="G10" s="250"/>
      <c r="H10" s="250"/>
      <c r="I10" s="250"/>
      <c r="J10" s="250"/>
      <c r="K10" s="250"/>
      <c r="L10" s="250"/>
      <c r="M10" s="250"/>
      <c r="N10" s="250"/>
      <c r="O10" s="250"/>
      <c r="P10" s="250"/>
      <c r="Q10" s="250"/>
      <c r="R10" s="250"/>
      <c r="S10" s="250"/>
      <c r="T10" s="250"/>
      <c r="U10" s="250"/>
      <c r="V10" s="250"/>
      <c r="W10" s="250"/>
      <c r="X10" s="250"/>
      <c r="Y10" s="250"/>
      <c r="Z10" s="250"/>
    </row>
    <row r="11" spans="1:26" x14ac:dyDescent="0.2">
      <c r="A11" s="250"/>
      <c r="B11" s="9"/>
      <c r="C11" s="32"/>
      <c r="D11" s="9"/>
      <c r="E11" s="32"/>
      <c r="F11" s="250"/>
      <c r="G11" s="250"/>
      <c r="H11" s="250"/>
      <c r="I11" s="250"/>
      <c r="J11" s="250"/>
      <c r="K11" s="250"/>
      <c r="L11" s="250"/>
      <c r="M11" s="250"/>
      <c r="N11" s="250"/>
      <c r="O11" s="250"/>
      <c r="P11" s="250"/>
      <c r="Q11" s="250"/>
      <c r="R11" s="250"/>
      <c r="S11" s="250"/>
      <c r="T11" s="250"/>
      <c r="U11" s="250"/>
      <c r="V11" s="250"/>
      <c r="W11" s="250"/>
      <c r="X11" s="250"/>
      <c r="Y11" s="250"/>
      <c r="Z11" s="250"/>
    </row>
    <row r="12" spans="1:26" x14ac:dyDescent="0.2">
      <c r="A12" s="250"/>
      <c r="B12" s="75" t="s">
        <v>354</v>
      </c>
      <c r="C12" s="280" t="s">
        <v>255</v>
      </c>
      <c r="D12" s="75" t="s">
        <v>251</v>
      </c>
      <c r="E12" s="9"/>
      <c r="F12" s="250"/>
      <c r="G12" s="250"/>
      <c r="H12" s="250"/>
      <c r="I12" s="250"/>
      <c r="J12" s="250"/>
      <c r="K12" s="250"/>
      <c r="L12" s="250"/>
      <c r="M12" s="250"/>
      <c r="N12" s="250"/>
      <c r="O12" s="250"/>
      <c r="P12" s="250"/>
      <c r="Q12" s="250"/>
      <c r="R12" s="250"/>
      <c r="S12" s="250"/>
      <c r="T12" s="250"/>
      <c r="U12" s="250"/>
      <c r="V12" s="250"/>
      <c r="W12" s="250"/>
      <c r="X12" s="250"/>
      <c r="Y12" s="250"/>
      <c r="Z12" s="250"/>
    </row>
    <row r="13" spans="1:26" x14ac:dyDescent="0.2">
      <c r="A13" s="250"/>
      <c r="B13" s="279"/>
      <c r="C13" s="279"/>
      <c r="D13" s="279"/>
      <c r="E13" s="279"/>
      <c r="F13" s="250"/>
      <c r="G13" s="250"/>
      <c r="H13" s="250"/>
      <c r="I13" s="250"/>
      <c r="J13" s="250"/>
      <c r="K13" s="250"/>
      <c r="L13" s="250"/>
      <c r="M13" s="250"/>
      <c r="N13" s="250"/>
      <c r="O13" s="250"/>
      <c r="P13" s="250"/>
      <c r="Q13" s="250"/>
      <c r="R13" s="250"/>
      <c r="S13" s="250"/>
      <c r="T13" s="250"/>
      <c r="U13" s="250"/>
      <c r="V13" s="250"/>
      <c r="W13" s="250"/>
      <c r="X13" s="250"/>
      <c r="Y13" s="250"/>
      <c r="Z13" s="250"/>
    </row>
    <row r="14" spans="1:26" x14ac:dyDescent="0.2">
      <c r="A14" s="250"/>
      <c r="B14" s="3" t="s">
        <v>354</v>
      </c>
      <c r="C14" s="3" t="s">
        <v>249</v>
      </c>
      <c r="D14" s="3" t="s">
        <v>256</v>
      </c>
      <c r="E14" s="3"/>
      <c r="F14" s="250"/>
      <c r="G14" s="250"/>
      <c r="H14" s="250"/>
      <c r="I14" s="250"/>
      <c r="J14" s="250"/>
      <c r="K14" s="250"/>
      <c r="L14" s="250"/>
      <c r="M14" s="250"/>
      <c r="N14" s="250"/>
      <c r="O14" s="250"/>
      <c r="P14" s="250"/>
      <c r="Q14" s="250"/>
      <c r="R14" s="250"/>
      <c r="S14" s="250"/>
      <c r="T14" s="250"/>
      <c r="U14" s="250"/>
      <c r="V14" s="250"/>
      <c r="W14" s="250"/>
      <c r="X14" s="250"/>
      <c r="Y14" s="250"/>
      <c r="Z14" s="250"/>
    </row>
    <row r="15" spans="1:26" x14ac:dyDescent="0.2">
      <c r="A15" s="250"/>
      <c r="B15" s="9"/>
      <c r="C15" s="32"/>
      <c r="D15" s="9"/>
      <c r="E15" s="32"/>
      <c r="F15" s="250"/>
      <c r="G15" s="250"/>
      <c r="H15" s="250"/>
      <c r="I15" s="250"/>
      <c r="J15" s="250"/>
      <c r="K15" s="250"/>
      <c r="L15" s="250"/>
      <c r="M15" s="250"/>
      <c r="N15" s="250"/>
      <c r="O15" s="250"/>
      <c r="P15" s="250"/>
      <c r="Q15" s="250"/>
      <c r="R15" s="250"/>
      <c r="S15" s="250"/>
      <c r="T15" s="250"/>
      <c r="U15" s="250"/>
      <c r="V15" s="250"/>
      <c r="W15" s="250"/>
      <c r="X15" s="250"/>
      <c r="Y15" s="250"/>
      <c r="Z15" s="250"/>
    </row>
    <row r="16" spans="1:26" x14ac:dyDescent="0.2">
      <c r="A16" s="250"/>
      <c r="B16" s="75" t="s">
        <v>354</v>
      </c>
      <c r="C16" s="280" t="s">
        <v>355</v>
      </c>
      <c r="D16" s="75" t="s">
        <v>383</v>
      </c>
      <c r="E16" s="9"/>
      <c r="F16" s="250"/>
      <c r="G16" s="250"/>
      <c r="H16" s="250"/>
      <c r="I16" s="250"/>
      <c r="J16" s="250"/>
      <c r="K16" s="250"/>
      <c r="L16" s="250"/>
      <c r="M16" s="250"/>
      <c r="N16" s="250"/>
      <c r="O16" s="250"/>
      <c r="P16" s="250"/>
      <c r="Q16" s="250"/>
      <c r="R16" s="250"/>
      <c r="S16" s="250"/>
      <c r="T16" s="250"/>
      <c r="U16" s="250"/>
      <c r="V16" s="250"/>
      <c r="W16" s="250"/>
      <c r="X16" s="250"/>
      <c r="Y16" s="250"/>
      <c r="Z16" s="250"/>
    </row>
    <row r="17" spans="1:26" x14ac:dyDescent="0.2">
      <c r="A17" s="250"/>
      <c r="B17" s="279"/>
      <c r="C17" s="279"/>
      <c r="D17" s="279"/>
      <c r="E17" s="279"/>
      <c r="F17" s="250"/>
      <c r="G17" s="250"/>
      <c r="H17" s="250"/>
      <c r="I17" s="250"/>
      <c r="J17" s="250"/>
      <c r="K17" s="250"/>
      <c r="L17" s="250"/>
      <c r="M17" s="250"/>
      <c r="N17" s="250"/>
      <c r="O17" s="250"/>
      <c r="P17" s="250"/>
      <c r="Q17" s="250"/>
      <c r="R17" s="250"/>
      <c r="S17" s="250"/>
      <c r="T17" s="250"/>
      <c r="U17" s="250"/>
      <c r="V17" s="250"/>
      <c r="W17" s="250"/>
      <c r="X17" s="250"/>
      <c r="Y17" s="250"/>
      <c r="Z17" s="250"/>
    </row>
    <row r="18" spans="1:26" x14ac:dyDescent="0.2">
      <c r="A18" s="250"/>
      <c r="B18" s="3" t="s">
        <v>356</v>
      </c>
      <c r="C18" s="3" t="s">
        <v>248</v>
      </c>
      <c r="D18" s="3" t="s">
        <v>250</v>
      </c>
      <c r="E18" s="3"/>
      <c r="F18" s="250"/>
      <c r="G18" s="250"/>
      <c r="H18" s="250"/>
      <c r="I18" s="250"/>
      <c r="J18" s="250"/>
      <c r="K18" s="250"/>
      <c r="L18" s="250"/>
      <c r="M18" s="250"/>
      <c r="N18" s="250"/>
      <c r="O18" s="250"/>
      <c r="P18" s="250"/>
      <c r="Q18" s="250"/>
      <c r="R18" s="250"/>
      <c r="S18" s="250"/>
      <c r="T18" s="250"/>
      <c r="U18" s="250"/>
      <c r="V18" s="250"/>
      <c r="W18" s="250"/>
      <c r="X18" s="250"/>
      <c r="Y18" s="250"/>
      <c r="Z18" s="250"/>
    </row>
    <row r="19" spans="1:26" x14ac:dyDescent="0.2">
      <c r="A19" s="250"/>
      <c r="B19" s="9"/>
      <c r="C19" s="32"/>
      <c r="D19" s="9"/>
      <c r="E19" s="32"/>
      <c r="F19" s="250"/>
      <c r="G19" s="250"/>
      <c r="H19" s="250"/>
      <c r="I19" s="250"/>
      <c r="J19" s="250"/>
      <c r="K19" s="250"/>
      <c r="L19" s="250"/>
      <c r="M19" s="250"/>
      <c r="N19" s="250"/>
      <c r="O19" s="250"/>
      <c r="P19" s="250"/>
      <c r="Q19" s="250"/>
      <c r="R19" s="250"/>
      <c r="S19" s="250"/>
      <c r="T19" s="250"/>
      <c r="U19" s="250"/>
      <c r="V19" s="250"/>
      <c r="W19" s="250"/>
      <c r="X19" s="250"/>
      <c r="Y19" s="250"/>
      <c r="Z19" s="250"/>
    </row>
    <row r="20" spans="1:26" x14ac:dyDescent="0.2">
      <c r="A20" s="250"/>
      <c r="B20" s="280" t="s">
        <v>354</v>
      </c>
      <c r="C20" s="280" t="s">
        <v>255</v>
      </c>
      <c r="D20" s="75" t="s">
        <v>256</v>
      </c>
      <c r="E20" s="9"/>
      <c r="F20" s="250"/>
      <c r="G20" s="250"/>
      <c r="H20" s="250"/>
      <c r="I20" s="250"/>
      <c r="J20" s="250"/>
      <c r="K20" s="250"/>
      <c r="L20" s="250"/>
      <c r="M20" s="250"/>
      <c r="N20" s="250"/>
      <c r="O20" s="250"/>
      <c r="P20" s="250"/>
      <c r="Q20" s="250"/>
      <c r="R20" s="250"/>
      <c r="S20" s="250"/>
      <c r="T20" s="250"/>
      <c r="U20" s="250"/>
      <c r="V20" s="250"/>
      <c r="W20" s="250"/>
      <c r="X20" s="250"/>
      <c r="Y20" s="250"/>
      <c r="Z20" s="250"/>
    </row>
    <row r="21" spans="1:26" x14ac:dyDescent="0.2">
      <c r="A21" s="250"/>
      <c r="B21" s="279"/>
      <c r="C21" s="279"/>
      <c r="D21" s="33"/>
      <c r="E21" s="33"/>
      <c r="F21" s="250"/>
      <c r="G21" s="250"/>
      <c r="H21" s="250"/>
      <c r="I21" s="250"/>
      <c r="J21" s="250"/>
      <c r="K21" s="250"/>
      <c r="L21" s="250"/>
      <c r="M21" s="250"/>
      <c r="N21" s="250"/>
      <c r="O21" s="250"/>
      <c r="P21" s="250"/>
      <c r="Q21" s="250"/>
      <c r="R21" s="250"/>
      <c r="S21" s="250"/>
      <c r="T21" s="250"/>
      <c r="U21" s="250"/>
      <c r="V21" s="250"/>
      <c r="W21" s="250"/>
      <c r="X21" s="250"/>
      <c r="Y21" s="250"/>
      <c r="Z21" s="250"/>
    </row>
    <row r="22" spans="1:26" x14ac:dyDescent="0.2">
      <c r="A22" s="250"/>
      <c r="B22" s="3" t="s">
        <v>356</v>
      </c>
      <c r="C22" s="278" t="s">
        <v>249</v>
      </c>
      <c r="D22" s="278" t="s">
        <v>251</v>
      </c>
      <c r="E22" s="3"/>
      <c r="F22" s="250"/>
      <c r="G22" s="250"/>
      <c r="H22" s="250"/>
      <c r="I22" s="250"/>
      <c r="J22" s="250"/>
      <c r="K22" s="250"/>
      <c r="L22" s="250"/>
      <c r="M22" s="250"/>
      <c r="N22" s="250"/>
      <c r="O22" s="250"/>
      <c r="P22" s="250"/>
      <c r="Q22" s="250"/>
      <c r="R22" s="250"/>
      <c r="S22" s="250"/>
      <c r="T22" s="250"/>
      <c r="U22" s="250"/>
      <c r="V22" s="250"/>
      <c r="W22" s="250"/>
      <c r="X22" s="250"/>
      <c r="Y22" s="250"/>
      <c r="Z22" s="250"/>
    </row>
    <row r="23" spans="1:26" x14ac:dyDescent="0.2">
      <c r="A23" s="250"/>
      <c r="B23" s="9"/>
      <c r="C23" s="32"/>
      <c r="D23" s="9"/>
      <c r="E23" s="32"/>
      <c r="F23" s="250"/>
      <c r="G23" s="250"/>
      <c r="H23" s="250"/>
      <c r="I23" s="250"/>
      <c r="J23" s="250"/>
      <c r="K23" s="250"/>
      <c r="L23" s="250"/>
      <c r="M23" s="250"/>
      <c r="N23" s="250"/>
      <c r="O23" s="250"/>
      <c r="P23" s="250"/>
      <c r="Q23" s="250"/>
      <c r="R23" s="250"/>
      <c r="S23" s="250"/>
      <c r="T23" s="250"/>
      <c r="U23" s="250"/>
      <c r="V23" s="250"/>
      <c r="W23" s="250"/>
      <c r="X23" s="250"/>
      <c r="Y23" s="250"/>
      <c r="Z23" s="250"/>
    </row>
    <row r="24" spans="1:26" x14ac:dyDescent="0.2">
      <c r="A24" s="250"/>
      <c r="B24" s="75" t="s">
        <v>356</v>
      </c>
      <c r="C24" s="75" t="s">
        <v>355</v>
      </c>
      <c r="D24" s="75" t="s">
        <v>383</v>
      </c>
      <c r="E24" s="5"/>
      <c r="F24" s="250"/>
      <c r="G24" s="250"/>
      <c r="H24" s="250"/>
      <c r="I24" s="250"/>
      <c r="J24" s="250"/>
      <c r="K24" s="250"/>
      <c r="L24" s="250"/>
      <c r="M24" s="250"/>
      <c r="N24" s="250"/>
      <c r="O24" s="250"/>
      <c r="P24" s="250"/>
      <c r="Q24" s="250"/>
      <c r="R24" s="250"/>
      <c r="S24" s="250"/>
      <c r="T24" s="250"/>
      <c r="U24" s="250"/>
      <c r="V24" s="250"/>
      <c r="W24" s="250"/>
      <c r="X24" s="250"/>
      <c r="Y24" s="250"/>
      <c r="Z24" s="250"/>
    </row>
    <row r="25" spans="1:26" s="206" customFormat="1" x14ac:dyDescent="0.2"/>
    <row r="26" spans="1:26" s="206" customFormat="1" x14ac:dyDescent="0.2"/>
    <row r="27" spans="1:26" s="206" customFormat="1" x14ac:dyDescent="0.2"/>
    <row r="28" spans="1:26" s="206" customFormat="1" x14ac:dyDescent="0.2"/>
    <row r="29" spans="1:26" s="206" customFormat="1" x14ac:dyDescent="0.2"/>
    <row r="30" spans="1:26" s="206" customFormat="1" x14ac:dyDescent="0.2"/>
    <row r="31" spans="1:26" s="206" customFormat="1" x14ac:dyDescent="0.2"/>
    <row r="32" spans="1:26" s="206" customFormat="1" x14ac:dyDescent="0.2"/>
    <row r="33" s="206" customFormat="1" x14ac:dyDescent="0.2"/>
    <row r="34" s="206" customFormat="1" x14ac:dyDescent="0.2"/>
    <row r="35" s="206" customFormat="1" x14ac:dyDescent="0.2"/>
    <row r="36" s="206" customFormat="1" x14ac:dyDescent="0.2"/>
    <row r="37" s="206" customFormat="1" x14ac:dyDescent="0.2"/>
    <row r="38" s="206" customFormat="1" x14ac:dyDescent="0.2"/>
    <row r="39" s="206" customFormat="1" x14ac:dyDescent="0.2"/>
    <row r="40" s="206" customFormat="1" x14ac:dyDescent="0.2"/>
    <row r="41" s="206" customFormat="1" x14ac:dyDescent="0.2"/>
    <row r="42" s="206" customFormat="1" x14ac:dyDescent="0.2"/>
    <row r="43" s="206" customFormat="1" x14ac:dyDescent="0.2"/>
    <row r="44" s="206" customFormat="1" x14ac:dyDescent="0.2"/>
    <row r="45" s="206" customFormat="1" x14ac:dyDescent="0.2"/>
    <row r="46" s="206" customFormat="1" x14ac:dyDescent="0.2"/>
    <row r="47" s="206" customFormat="1" x14ac:dyDescent="0.2"/>
    <row r="48" s="206" customFormat="1" x14ac:dyDescent="0.2"/>
    <row r="49" s="206" customFormat="1" x14ac:dyDescent="0.2"/>
    <row r="50" s="206" customFormat="1" x14ac:dyDescent="0.2"/>
    <row r="51" s="206" customFormat="1" x14ac:dyDescent="0.2"/>
    <row r="52" s="206" customFormat="1" x14ac:dyDescent="0.2"/>
    <row r="53" s="206" customFormat="1" x14ac:dyDescent="0.2"/>
    <row r="54" s="206" customFormat="1" x14ac:dyDescent="0.2"/>
  </sheetData>
  <pageMargins left="0.7" right="0.7" top="0.75" bottom="0.75" header="0.3" footer="0.3"/>
  <pageSetup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topLeftCell="A58" zoomScaleNormal="100" workbookViewId="0">
      <selection activeCell="H65" sqref="H65"/>
    </sheetView>
  </sheetViews>
  <sheetFormatPr defaultColWidth="8.7109375" defaultRowHeight="12.75" x14ac:dyDescent="0.2"/>
  <cols>
    <col min="1" max="1" width="3.140625" customWidth="1"/>
    <col min="2" max="2" width="28.85546875" customWidth="1"/>
    <col min="3" max="3" width="2.42578125" customWidth="1"/>
    <col min="4" max="4" width="12" style="205" customWidth="1"/>
    <col min="5" max="5" width="2.42578125" customWidth="1"/>
    <col min="6" max="6" width="11" style="19" customWidth="1"/>
    <col min="7" max="7" width="2.42578125" customWidth="1"/>
    <col min="8" max="8" width="10.7109375" style="205" customWidth="1"/>
    <col min="9" max="9" width="2.42578125" customWidth="1"/>
    <col min="10" max="10" width="20.7109375" style="29" customWidth="1"/>
    <col min="11" max="32" width="8.7109375" style="206" customWidth="1"/>
  </cols>
  <sheetData>
    <row r="1" spans="1:33" s="206" customFormat="1" x14ac:dyDescent="0.2">
      <c r="D1" s="51"/>
      <c r="F1" s="35"/>
      <c r="H1" s="51"/>
      <c r="K1" s="250"/>
      <c r="L1" s="250"/>
    </row>
    <row r="2" spans="1:33" s="206" customFormat="1" x14ac:dyDescent="0.2">
      <c r="B2" s="294" t="s">
        <v>28</v>
      </c>
      <c r="C2" s="295"/>
      <c r="D2" s="296"/>
      <c r="E2" s="297"/>
      <c r="F2" s="250"/>
      <c r="G2" s="250"/>
      <c r="H2" s="250"/>
      <c r="I2" s="250"/>
      <c r="J2" s="250"/>
      <c r="K2" s="250"/>
      <c r="L2" s="250"/>
      <c r="M2" s="250"/>
    </row>
    <row r="3" spans="1:33" s="206" customFormat="1" x14ac:dyDescent="0.2">
      <c r="B3" s="298" t="s">
        <v>290</v>
      </c>
      <c r="C3" s="299"/>
      <c r="D3" s="300"/>
      <c r="E3" s="301"/>
      <c r="F3" s="250"/>
      <c r="G3" s="250"/>
      <c r="H3" s="250"/>
      <c r="I3" s="250"/>
      <c r="J3" s="250"/>
      <c r="K3" s="250"/>
      <c r="L3" s="250"/>
      <c r="M3" s="250"/>
    </row>
    <row r="4" spans="1:33" s="206" customFormat="1" x14ac:dyDescent="0.2">
      <c r="B4" s="302" t="s">
        <v>291</v>
      </c>
      <c r="C4" s="302"/>
      <c r="D4" s="302"/>
      <c r="E4" s="302"/>
      <c r="F4" s="250"/>
      <c r="G4" s="250"/>
      <c r="H4" s="250"/>
      <c r="I4" s="250"/>
      <c r="J4" s="250"/>
      <c r="K4" s="250"/>
      <c r="L4" s="250"/>
      <c r="M4" s="250"/>
    </row>
    <row r="5" spans="1:33" s="206" customFormat="1" x14ac:dyDescent="0.2">
      <c r="B5" s="303" t="s">
        <v>5</v>
      </c>
      <c r="C5" s="304"/>
      <c r="D5" s="305"/>
      <c r="E5" s="306"/>
      <c r="F5" s="250"/>
      <c r="G5" s="250"/>
      <c r="H5" s="250"/>
      <c r="I5" s="250"/>
      <c r="J5" s="250"/>
      <c r="K5" s="250"/>
      <c r="L5" s="250"/>
      <c r="M5" s="250"/>
    </row>
    <row r="6" spans="1:33" s="206" customFormat="1" x14ac:dyDescent="0.2">
      <c r="B6" s="307" t="s">
        <v>6</v>
      </c>
      <c r="C6" s="295"/>
      <c r="D6" s="296"/>
      <c r="E6" s="297"/>
      <c r="F6" s="250"/>
      <c r="G6" s="250"/>
      <c r="H6" s="250"/>
      <c r="I6" s="250"/>
      <c r="J6" s="250"/>
      <c r="K6" s="250"/>
      <c r="L6" s="250"/>
      <c r="M6" s="250"/>
    </row>
    <row r="7" spans="1:33" x14ac:dyDescent="0.2">
      <c r="A7" s="206"/>
      <c r="B7" s="206"/>
      <c r="C7" s="206"/>
      <c r="D7" s="51"/>
      <c r="E7" s="206"/>
      <c r="F7" s="35"/>
      <c r="G7" s="206"/>
      <c r="H7" s="51"/>
      <c r="I7" s="206"/>
      <c r="J7" s="206"/>
      <c r="K7" s="250"/>
      <c r="L7" s="250"/>
    </row>
    <row r="8" spans="1:33" s="77" customFormat="1" ht="15.75" customHeight="1" x14ac:dyDescent="0.25">
      <c r="A8" s="76"/>
      <c r="B8" s="401" t="s">
        <v>376</v>
      </c>
      <c r="C8" s="402"/>
      <c r="D8" s="402"/>
      <c r="E8" s="402"/>
      <c r="F8" s="402"/>
      <c r="G8" s="402"/>
      <c r="H8" s="402"/>
      <c r="I8" s="402"/>
      <c r="J8" s="402"/>
      <c r="K8" s="250"/>
      <c r="L8" s="250"/>
      <c r="M8" s="76"/>
      <c r="N8" s="76"/>
      <c r="O8" s="76"/>
      <c r="P8" s="76"/>
      <c r="Q8" s="76"/>
      <c r="R8" s="76"/>
      <c r="S8" s="76"/>
      <c r="T8" s="76"/>
      <c r="U8" s="76"/>
      <c r="V8" s="76"/>
      <c r="W8" s="76"/>
      <c r="X8" s="76"/>
      <c r="Y8" s="76"/>
      <c r="Z8" s="76"/>
      <c r="AA8" s="76"/>
      <c r="AB8" s="76"/>
      <c r="AC8" s="76"/>
      <c r="AD8" s="76"/>
      <c r="AE8" s="76"/>
      <c r="AF8" s="76"/>
    </row>
    <row r="9" spans="1:33" s="77" customFormat="1" ht="9" customHeight="1" x14ac:dyDescent="0.25">
      <c r="A9" s="76"/>
      <c r="B9" s="145"/>
      <c r="C9" s="146"/>
      <c r="D9" s="147"/>
      <c r="E9" s="146"/>
      <c r="F9" s="147"/>
      <c r="G9" s="146"/>
      <c r="H9" s="147"/>
      <c r="I9" s="146"/>
      <c r="J9" s="146"/>
      <c r="K9" s="250"/>
      <c r="L9" s="250"/>
      <c r="M9" s="76"/>
      <c r="N9" s="76"/>
      <c r="O9" s="76"/>
      <c r="P9" s="76"/>
      <c r="Q9" s="76"/>
      <c r="R9" s="76"/>
      <c r="S9" s="76"/>
      <c r="T9" s="76"/>
      <c r="U9" s="76"/>
      <c r="V9" s="76"/>
      <c r="W9" s="76"/>
      <c r="X9" s="76"/>
      <c r="Y9" s="76"/>
      <c r="Z9" s="76"/>
      <c r="AA9" s="76"/>
      <c r="AB9" s="76"/>
      <c r="AC9" s="76"/>
      <c r="AD9" s="76"/>
      <c r="AE9" s="76"/>
      <c r="AF9" s="76"/>
    </row>
    <row r="10" spans="1:33" s="72" customFormat="1" ht="26.25" customHeight="1" x14ac:dyDescent="0.2">
      <c r="A10" s="71"/>
      <c r="B10" s="240"/>
      <c r="C10" s="240"/>
      <c r="D10" s="240" t="s">
        <v>157</v>
      </c>
      <c r="E10" s="240"/>
      <c r="F10" s="240"/>
      <c r="G10" s="240"/>
      <c r="H10" s="240" t="s">
        <v>158</v>
      </c>
      <c r="I10" s="240"/>
      <c r="J10" s="243" t="s">
        <v>159</v>
      </c>
      <c r="K10" s="250"/>
      <c r="L10" s="250"/>
      <c r="M10" s="71"/>
      <c r="N10" s="71"/>
      <c r="O10" s="71"/>
      <c r="P10" s="71"/>
      <c r="Q10" s="71"/>
      <c r="R10" s="71"/>
      <c r="S10" s="71"/>
      <c r="T10" s="71"/>
      <c r="U10" s="71"/>
      <c r="V10" s="71"/>
      <c r="W10" s="71"/>
      <c r="X10" s="71"/>
      <c r="Y10" s="71"/>
      <c r="Z10" s="71"/>
      <c r="AA10" s="71"/>
      <c r="AB10" s="71"/>
      <c r="AC10" s="71"/>
      <c r="AD10" s="71"/>
      <c r="AE10" s="71"/>
      <c r="AF10" s="71"/>
      <c r="AG10" s="71"/>
    </row>
    <row r="11" spans="1:33" s="72" customFormat="1" ht="14.25" customHeight="1" x14ac:dyDescent="0.2">
      <c r="A11" s="71"/>
      <c r="B11" s="244" t="s">
        <v>160</v>
      </c>
      <c r="C11" s="239"/>
      <c r="D11" s="239" t="s">
        <v>100</v>
      </c>
      <c r="E11" s="239"/>
      <c r="F11" s="242" t="s">
        <v>101</v>
      </c>
      <c r="G11" s="239"/>
      <c r="H11" s="239" t="s">
        <v>4</v>
      </c>
      <c r="I11" s="239"/>
      <c r="J11" s="242" t="s">
        <v>128</v>
      </c>
      <c r="K11" s="250"/>
      <c r="L11" s="250"/>
      <c r="M11" s="71"/>
      <c r="N11" s="71"/>
      <c r="O11" s="71"/>
      <c r="P11" s="71"/>
      <c r="Q11" s="71"/>
      <c r="R11" s="71"/>
      <c r="S11" s="71"/>
      <c r="T11" s="71"/>
      <c r="U11" s="71"/>
      <c r="V11" s="71"/>
      <c r="W11" s="71"/>
      <c r="X11" s="71"/>
      <c r="Y11" s="71"/>
      <c r="Z11" s="71"/>
      <c r="AA11" s="71"/>
      <c r="AB11" s="71"/>
      <c r="AC11" s="71"/>
      <c r="AD11" s="71"/>
      <c r="AE11" s="71"/>
      <c r="AF11" s="71"/>
      <c r="AG11" s="71"/>
    </row>
    <row r="12" spans="1:33" ht="3" customHeight="1" x14ac:dyDescent="0.2">
      <c r="A12" s="237"/>
      <c r="B12" s="241"/>
      <c r="C12" s="241"/>
      <c r="D12" s="241"/>
      <c r="E12" s="241"/>
      <c r="F12" s="241"/>
      <c r="G12" s="241"/>
      <c r="H12" s="241"/>
      <c r="I12" s="241"/>
      <c r="J12" s="241"/>
      <c r="K12" s="250"/>
      <c r="L12" s="250"/>
      <c r="M12" s="237"/>
      <c r="N12" s="237"/>
      <c r="O12" s="237"/>
      <c r="P12" s="237"/>
      <c r="Q12" s="237"/>
      <c r="R12" s="237"/>
      <c r="S12" s="237"/>
      <c r="T12" s="237"/>
      <c r="U12" s="237"/>
      <c r="V12" s="237"/>
      <c r="W12" s="237"/>
      <c r="X12" s="237"/>
      <c r="Y12" s="237"/>
      <c r="Z12" s="237"/>
      <c r="AA12" s="237"/>
      <c r="AB12" s="237"/>
      <c r="AC12" s="237"/>
      <c r="AD12" s="237"/>
      <c r="AE12" s="237"/>
      <c r="AF12" s="237"/>
      <c r="AG12" s="237"/>
    </row>
    <row r="13" spans="1:33" ht="5.25" customHeight="1" x14ac:dyDescent="0.2">
      <c r="A13" s="206"/>
      <c r="B13" s="10"/>
      <c r="C13" s="10"/>
      <c r="D13" s="64"/>
      <c r="E13" s="10"/>
      <c r="F13" s="14"/>
      <c r="G13" s="10"/>
      <c r="H13" s="69"/>
      <c r="I13" s="10"/>
      <c r="J13" s="12"/>
      <c r="K13" s="250"/>
      <c r="L13" s="250"/>
    </row>
    <row r="14" spans="1:33" x14ac:dyDescent="0.2">
      <c r="A14" s="250"/>
      <c r="B14" s="6" t="s">
        <v>129</v>
      </c>
      <c r="C14" s="7"/>
      <c r="D14" s="38"/>
      <c r="E14" s="7"/>
      <c r="F14" s="8"/>
      <c r="G14" s="7"/>
      <c r="H14" s="38"/>
      <c r="I14" s="7"/>
      <c r="J14" s="9"/>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row>
    <row r="15" spans="1:33" x14ac:dyDescent="0.2">
      <c r="A15" s="250"/>
      <c r="B15" s="221" t="s">
        <v>357</v>
      </c>
      <c r="C15" s="10"/>
      <c r="D15" s="315">
        <f>Summary!D16</f>
        <v>2.5</v>
      </c>
      <c r="E15" s="10"/>
      <c r="F15" s="11" t="s">
        <v>153</v>
      </c>
      <c r="G15" s="10"/>
      <c r="H15" s="316">
        <f>Summary!E16</f>
        <v>175</v>
      </c>
      <c r="I15" s="10"/>
      <c r="J15" s="12">
        <f>D15*H15</f>
        <v>437.5</v>
      </c>
      <c r="K15" s="250"/>
      <c r="L15" s="250"/>
      <c r="M15" s="251"/>
      <c r="N15" s="251"/>
      <c r="O15" s="251"/>
      <c r="P15" s="251"/>
      <c r="Q15" s="251"/>
      <c r="R15" s="250"/>
      <c r="S15" s="250"/>
      <c r="T15" s="250"/>
      <c r="U15" s="250"/>
      <c r="V15" s="250"/>
      <c r="W15" s="250"/>
      <c r="X15" s="250"/>
      <c r="Y15" s="250"/>
      <c r="Z15" s="250"/>
      <c r="AA15" s="250"/>
      <c r="AB15" s="250"/>
      <c r="AC15" s="250"/>
      <c r="AD15" s="250"/>
      <c r="AE15" s="250"/>
      <c r="AF15" s="250"/>
      <c r="AG15" s="250"/>
    </row>
    <row r="16" spans="1:33" x14ac:dyDescent="0.2">
      <c r="A16" s="206"/>
      <c r="B16" s="6" t="s">
        <v>107</v>
      </c>
      <c r="C16" s="7"/>
      <c r="D16" s="38"/>
      <c r="E16" s="7"/>
      <c r="F16" s="8"/>
      <c r="G16" s="7"/>
      <c r="H16" s="54"/>
      <c r="I16" s="7"/>
      <c r="J16" s="15"/>
      <c r="K16" s="250"/>
      <c r="L16" s="250"/>
    </row>
    <row r="17" spans="1:33" ht="5.0999999999999996" customHeight="1" x14ac:dyDescent="0.2">
      <c r="A17" s="206"/>
      <c r="B17" s="7"/>
      <c r="C17" s="7"/>
      <c r="D17" s="38"/>
      <c r="E17" s="7"/>
      <c r="F17" s="8"/>
      <c r="G17" s="7"/>
      <c r="H17" s="54"/>
      <c r="I17" s="7"/>
      <c r="J17" s="18"/>
      <c r="K17" s="250"/>
      <c r="L17" s="250"/>
    </row>
    <row r="18" spans="1:33" x14ac:dyDescent="0.2">
      <c r="A18" s="206"/>
      <c r="B18" s="45" t="s">
        <v>143</v>
      </c>
      <c r="C18" s="7"/>
      <c r="D18" s="38"/>
      <c r="E18" s="7"/>
      <c r="F18" s="8"/>
      <c r="G18" s="7"/>
      <c r="H18" s="54"/>
      <c r="I18" s="7"/>
      <c r="J18" s="218">
        <f>SUM(J21:J23)</f>
        <v>55.55</v>
      </c>
      <c r="K18" s="250"/>
      <c r="L18" s="250"/>
    </row>
    <row r="19" spans="1:33" s="43" customFormat="1" x14ac:dyDescent="0.2">
      <c r="A19" s="61"/>
      <c r="B19" s="209" t="s">
        <v>215</v>
      </c>
      <c r="C19" s="62"/>
      <c r="D19" s="67"/>
      <c r="E19" s="62"/>
      <c r="F19" s="63"/>
      <c r="G19" s="62"/>
      <c r="H19" s="210"/>
      <c r="I19" s="62"/>
      <c r="J19" s="211"/>
      <c r="K19" s="250"/>
      <c r="L19" s="250"/>
      <c r="M19" s="212"/>
      <c r="N19" s="61"/>
      <c r="O19" s="61"/>
      <c r="P19" s="61"/>
      <c r="Q19" s="61"/>
      <c r="R19" s="61"/>
      <c r="S19" s="61"/>
      <c r="T19" s="61"/>
      <c r="U19" s="61"/>
      <c r="V19" s="61"/>
      <c r="W19" s="61"/>
      <c r="X19" s="61"/>
      <c r="Y19" s="61"/>
      <c r="Z19" s="61"/>
      <c r="AA19" s="61"/>
      <c r="AB19" s="61"/>
      <c r="AC19" s="61"/>
      <c r="AD19" s="61"/>
      <c r="AE19" s="61"/>
      <c r="AF19" s="61"/>
      <c r="AG19" s="61"/>
    </row>
    <row r="20" spans="1:33" s="43" customFormat="1" x14ac:dyDescent="0.2">
      <c r="A20" s="61"/>
      <c r="B20" s="209" t="s">
        <v>289</v>
      </c>
      <c r="C20" s="62"/>
      <c r="D20" s="67"/>
      <c r="E20" s="62"/>
      <c r="F20" s="63"/>
      <c r="G20" s="62"/>
      <c r="H20" s="210"/>
      <c r="I20" s="62"/>
      <c r="J20" s="213"/>
      <c r="K20" s="250"/>
      <c r="L20" s="250"/>
      <c r="M20" s="61"/>
      <c r="N20" s="61"/>
      <c r="O20" s="61"/>
      <c r="P20" s="61"/>
      <c r="Q20" s="61"/>
      <c r="R20" s="61"/>
      <c r="S20" s="61"/>
      <c r="T20" s="61"/>
      <c r="U20" s="61"/>
      <c r="V20" s="61"/>
      <c r="W20" s="61"/>
      <c r="X20" s="61"/>
      <c r="Y20" s="61"/>
      <c r="Z20" s="61"/>
      <c r="AA20" s="61"/>
      <c r="AB20" s="61"/>
      <c r="AC20" s="61"/>
      <c r="AD20" s="61"/>
      <c r="AE20" s="61"/>
      <c r="AF20" s="61"/>
      <c r="AG20" s="61"/>
    </row>
    <row r="21" spans="1:33" x14ac:dyDescent="0.2">
      <c r="A21" s="206"/>
      <c r="B21" s="48" t="s">
        <v>287</v>
      </c>
      <c r="C21" s="7"/>
      <c r="D21" s="308">
        <v>25</v>
      </c>
      <c r="E21" s="7"/>
      <c r="F21" s="17" t="s">
        <v>124</v>
      </c>
      <c r="G21" s="7"/>
      <c r="H21" s="309">
        <f>Nitrogen</f>
        <v>0.56999999999999995</v>
      </c>
      <c r="I21" s="7"/>
      <c r="J21" s="18">
        <f>D21*H21</f>
        <v>14.249999999999998</v>
      </c>
      <c r="K21" s="250"/>
      <c r="L21" s="250"/>
    </row>
    <row r="22" spans="1:33" x14ac:dyDescent="0.2">
      <c r="A22" s="206"/>
      <c r="B22" s="48" t="s">
        <v>288</v>
      </c>
      <c r="C22" s="7"/>
      <c r="D22" s="308">
        <v>70</v>
      </c>
      <c r="E22" s="7"/>
      <c r="F22" s="17" t="s">
        <v>124</v>
      </c>
      <c r="G22" s="7"/>
      <c r="H22" s="309">
        <f>Phosphorous</f>
        <v>0.55000000000000004</v>
      </c>
      <c r="I22" s="7"/>
      <c r="J22" s="18">
        <f>D22*H22</f>
        <v>38.5</v>
      </c>
      <c r="K22" s="250"/>
      <c r="L22" s="250"/>
    </row>
    <row r="23" spans="1:33" x14ac:dyDescent="0.2">
      <c r="A23" s="206"/>
      <c r="B23" s="48" t="s">
        <v>267</v>
      </c>
      <c r="C23" s="7"/>
      <c r="D23" s="308">
        <v>10</v>
      </c>
      <c r="E23" s="7"/>
      <c r="F23" s="17" t="s">
        <v>124</v>
      </c>
      <c r="G23" s="7"/>
      <c r="H23" s="309">
        <f>Sulfur</f>
        <v>0.28000000000000003</v>
      </c>
      <c r="I23" s="7"/>
      <c r="J23" s="18">
        <f>D23*H23</f>
        <v>2.8000000000000003</v>
      </c>
      <c r="K23" s="250"/>
      <c r="L23" s="250"/>
    </row>
    <row r="24" spans="1:33" ht="5.0999999999999996" customHeight="1" x14ac:dyDescent="0.2">
      <c r="A24" s="206"/>
      <c r="B24" s="7"/>
      <c r="C24" s="7"/>
      <c r="D24" s="38"/>
      <c r="E24" s="7"/>
      <c r="F24" s="8"/>
      <c r="G24" s="7"/>
      <c r="H24" s="54"/>
      <c r="I24" s="7"/>
      <c r="J24" s="18"/>
      <c r="K24" s="250"/>
      <c r="L24" s="250"/>
    </row>
    <row r="25" spans="1:33" x14ac:dyDescent="0.2">
      <c r="A25" s="206"/>
      <c r="B25" s="45" t="s">
        <v>115</v>
      </c>
      <c r="C25" s="7"/>
      <c r="D25" s="38"/>
      <c r="E25" s="7"/>
      <c r="F25" s="8"/>
      <c r="G25" s="7"/>
      <c r="H25" s="54"/>
      <c r="I25" s="7"/>
      <c r="J25" s="218">
        <f>SUM(J29:J31)</f>
        <v>6.00875</v>
      </c>
      <c r="K25" s="250"/>
      <c r="L25" s="250"/>
    </row>
    <row r="26" spans="1:33" s="43" customFormat="1" x14ac:dyDescent="0.2">
      <c r="A26" s="61"/>
      <c r="B26" s="209" t="s">
        <v>217</v>
      </c>
      <c r="C26" s="62"/>
      <c r="D26" s="67"/>
      <c r="E26" s="62"/>
      <c r="F26" s="63"/>
      <c r="G26" s="62"/>
      <c r="H26" s="210"/>
      <c r="I26" s="62"/>
      <c r="J26" s="213"/>
      <c r="K26" s="250"/>
      <c r="L26" s="250"/>
      <c r="M26" s="61"/>
      <c r="N26" s="61"/>
      <c r="O26" s="61"/>
      <c r="P26" s="61"/>
      <c r="Q26" s="61"/>
      <c r="R26" s="61"/>
      <c r="S26" s="61"/>
      <c r="T26" s="61"/>
      <c r="U26" s="61"/>
      <c r="V26" s="61"/>
      <c r="W26" s="61"/>
      <c r="X26" s="61"/>
      <c r="Y26" s="61"/>
      <c r="Z26" s="61"/>
      <c r="AA26" s="61"/>
      <c r="AB26" s="61"/>
      <c r="AC26" s="61"/>
      <c r="AD26" s="61"/>
      <c r="AE26" s="61"/>
      <c r="AF26" s="61"/>
      <c r="AG26" s="61"/>
    </row>
    <row r="27" spans="1:33" s="43" customFormat="1" x14ac:dyDescent="0.2">
      <c r="A27" s="61"/>
      <c r="B27" s="209" t="s">
        <v>218</v>
      </c>
      <c r="C27" s="62"/>
      <c r="D27" s="67"/>
      <c r="E27" s="62"/>
      <c r="F27" s="63"/>
      <c r="G27" s="62"/>
      <c r="H27" s="210"/>
      <c r="I27" s="62"/>
      <c r="J27" s="213"/>
      <c r="K27" s="250"/>
      <c r="L27" s="250"/>
      <c r="M27" s="61"/>
      <c r="N27" s="61"/>
      <c r="O27" s="61"/>
      <c r="P27" s="61"/>
      <c r="Q27" s="61"/>
      <c r="R27" s="61"/>
      <c r="S27" s="61"/>
      <c r="T27" s="61"/>
      <c r="U27" s="61"/>
      <c r="V27" s="61"/>
      <c r="W27" s="61"/>
      <c r="X27" s="61"/>
      <c r="Y27" s="61"/>
      <c r="Z27" s="61"/>
      <c r="AA27" s="61"/>
      <c r="AB27" s="61"/>
      <c r="AC27" s="61"/>
      <c r="AD27" s="61"/>
      <c r="AE27" s="61"/>
      <c r="AF27" s="61"/>
      <c r="AG27" s="61"/>
    </row>
    <row r="28" spans="1:33" s="43" customFormat="1" x14ac:dyDescent="0.2">
      <c r="A28" s="61"/>
      <c r="B28" s="209" t="s">
        <v>219</v>
      </c>
      <c r="C28" s="62"/>
      <c r="D28" s="67"/>
      <c r="E28" s="62"/>
      <c r="F28" s="63"/>
      <c r="G28" s="62"/>
      <c r="H28" s="210"/>
      <c r="I28" s="62"/>
      <c r="J28" s="213"/>
      <c r="K28" s="250"/>
      <c r="L28" s="250"/>
      <c r="M28" s="61"/>
      <c r="N28" s="61"/>
      <c r="O28" s="61"/>
      <c r="P28" s="61"/>
      <c r="Q28" s="61"/>
      <c r="R28" s="61"/>
      <c r="S28" s="61"/>
      <c r="T28" s="61"/>
      <c r="U28" s="61"/>
      <c r="V28" s="61"/>
      <c r="W28" s="61"/>
      <c r="X28" s="61"/>
      <c r="Y28" s="61"/>
      <c r="Z28" s="61"/>
      <c r="AA28" s="61"/>
      <c r="AB28" s="61"/>
      <c r="AC28" s="61"/>
      <c r="AD28" s="61"/>
      <c r="AE28" s="61"/>
      <c r="AF28" s="61"/>
      <c r="AG28" s="61"/>
    </row>
    <row r="29" spans="1:33" x14ac:dyDescent="0.2">
      <c r="A29" s="206"/>
      <c r="B29" s="48" t="s">
        <v>377</v>
      </c>
      <c r="C29" s="7"/>
      <c r="D29" s="310">
        <v>4</v>
      </c>
      <c r="E29" s="7"/>
      <c r="F29" s="201" t="s">
        <v>126</v>
      </c>
      <c r="G29" s="7"/>
      <c r="H29" s="152">
        <f>mustang</f>
        <v>1.5021875</v>
      </c>
      <c r="I29" s="7"/>
      <c r="J29" s="18">
        <f>D29*H29</f>
        <v>6.00875</v>
      </c>
      <c r="K29" s="250"/>
      <c r="L29" s="250"/>
    </row>
    <row r="30" spans="1:33" x14ac:dyDescent="0.2">
      <c r="A30" s="206"/>
      <c r="B30" s="48"/>
      <c r="C30" s="7"/>
      <c r="D30" s="238"/>
      <c r="E30" s="7"/>
      <c r="F30" s="17"/>
      <c r="G30" s="7"/>
      <c r="H30" s="152"/>
      <c r="I30" s="7"/>
      <c r="J30" s="18"/>
      <c r="K30" s="250"/>
      <c r="L30" s="250"/>
    </row>
    <row r="31" spans="1:33" x14ac:dyDescent="0.2">
      <c r="A31" s="206"/>
      <c r="B31" s="16"/>
      <c r="C31" s="7"/>
      <c r="D31" s="151"/>
      <c r="E31" s="7"/>
      <c r="F31" s="17"/>
      <c r="G31" s="7"/>
      <c r="H31" s="152"/>
      <c r="I31" s="7"/>
      <c r="J31" s="18"/>
      <c r="K31" s="250"/>
      <c r="L31" s="250"/>
    </row>
    <row r="32" spans="1:33" ht="5.25" customHeight="1" x14ac:dyDescent="0.2">
      <c r="A32" s="206"/>
      <c r="B32" s="7"/>
      <c r="C32" s="7"/>
      <c r="D32" s="52"/>
      <c r="E32" s="7"/>
      <c r="F32" s="8"/>
      <c r="G32" s="7"/>
      <c r="H32" s="54"/>
      <c r="I32" s="7"/>
      <c r="J32" s="18"/>
      <c r="K32" s="250"/>
      <c r="L32" s="250"/>
    </row>
    <row r="33" spans="1:32" x14ac:dyDescent="0.2">
      <c r="A33" s="206"/>
      <c r="B33" s="45" t="s">
        <v>31</v>
      </c>
      <c r="C33" s="7"/>
      <c r="D33" s="65"/>
      <c r="E33" s="7"/>
      <c r="F33" s="8"/>
      <c r="G33" s="7"/>
      <c r="H33" s="54"/>
      <c r="I33" s="7"/>
      <c r="J33" s="218">
        <f>SUM(J34:J37)</f>
        <v>51.440937873671047</v>
      </c>
      <c r="K33" s="250"/>
      <c r="L33" s="250"/>
    </row>
    <row r="34" spans="1:32" x14ac:dyDescent="0.2">
      <c r="A34" s="206"/>
      <c r="B34" s="29" t="s">
        <v>173</v>
      </c>
      <c r="C34" s="7"/>
      <c r="D34" s="311">
        <f>'Machinery Costs'!M56</f>
        <v>4.8487804878048788</v>
      </c>
      <c r="E34" s="7"/>
      <c r="F34" s="17" t="s">
        <v>175</v>
      </c>
      <c r="G34" s="7"/>
      <c r="H34" s="309">
        <f>Diesel</f>
        <v>3</v>
      </c>
      <c r="I34" s="7"/>
      <c r="J34" s="18">
        <f>D34*H34</f>
        <v>14.546341463414636</v>
      </c>
      <c r="K34" s="250"/>
      <c r="L34" s="250"/>
    </row>
    <row r="35" spans="1:32" x14ac:dyDescent="0.2">
      <c r="A35" s="206"/>
      <c r="B35" s="29" t="s">
        <v>174</v>
      </c>
      <c r="C35" s="7"/>
      <c r="D35" s="151">
        <v>1</v>
      </c>
      <c r="E35" s="7"/>
      <c r="F35" s="17" t="s">
        <v>125</v>
      </c>
      <c r="G35" s="7"/>
      <c r="H35" s="313">
        <f>'Machinery Costs'!I56</f>
        <v>1.5700800000000001</v>
      </c>
      <c r="I35" s="7"/>
      <c r="J35" s="18">
        <f>D35*H35</f>
        <v>1.5700800000000001</v>
      </c>
      <c r="K35" s="250"/>
      <c r="L35" s="250"/>
    </row>
    <row r="36" spans="1:32" x14ac:dyDescent="0.2">
      <c r="A36" s="206"/>
      <c r="B36" s="29" t="s">
        <v>59</v>
      </c>
      <c r="C36" s="7"/>
      <c r="D36" s="151">
        <v>1</v>
      </c>
      <c r="E36" s="7"/>
      <c r="F36" s="17" t="s">
        <v>125</v>
      </c>
      <c r="G36" s="7"/>
      <c r="H36" s="313">
        <f>'Machinery Costs'!G56</f>
        <v>14.569260000000002</v>
      </c>
      <c r="I36" s="7"/>
      <c r="J36" s="18">
        <f>D36*H36</f>
        <v>14.569260000000002</v>
      </c>
      <c r="K36" s="250"/>
      <c r="L36" s="250"/>
    </row>
    <row r="37" spans="1:32" x14ac:dyDescent="0.2">
      <c r="A37" s="206"/>
      <c r="B37" s="29" t="s">
        <v>113</v>
      </c>
      <c r="C37" s="7"/>
      <c r="D37" s="312">
        <f>'Machinery Costs'!L56</f>
        <v>1.1660256410256409</v>
      </c>
      <c r="E37" s="7"/>
      <c r="F37" s="17" t="s">
        <v>125</v>
      </c>
      <c r="G37" s="7"/>
      <c r="H37" s="309">
        <f>Labor</f>
        <v>17.8</v>
      </c>
      <c r="I37" s="7"/>
      <c r="J37" s="18">
        <f>D37*H37</f>
        <v>20.755256410256408</v>
      </c>
      <c r="K37" s="250"/>
      <c r="L37" s="250"/>
    </row>
    <row r="38" spans="1:32" ht="4.5" customHeight="1" x14ac:dyDescent="0.2">
      <c r="A38" s="206"/>
      <c r="B38" s="7"/>
      <c r="C38" s="7"/>
      <c r="D38" s="38"/>
      <c r="E38" s="7"/>
      <c r="F38" s="8"/>
      <c r="G38" s="7"/>
      <c r="H38" s="54"/>
      <c r="I38" s="7"/>
      <c r="J38" s="18"/>
      <c r="K38" s="250"/>
      <c r="L38" s="250"/>
    </row>
    <row r="39" spans="1:32" x14ac:dyDescent="0.2">
      <c r="A39" s="206"/>
      <c r="B39" s="45" t="s">
        <v>97</v>
      </c>
      <c r="C39" s="7"/>
      <c r="D39" s="65"/>
      <c r="E39" s="7"/>
      <c r="F39" s="8"/>
      <c r="G39" s="7"/>
      <c r="H39" s="54"/>
      <c r="I39" s="7"/>
      <c r="J39" s="218">
        <f>SUM(J40:J42)</f>
        <v>32</v>
      </c>
      <c r="K39" s="250"/>
      <c r="L39" s="250"/>
    </row>
    <row r="40" spans="1:32" x14ac:dyDescent="0.2">
      <c r="A40" s="250"/>
      <c r="B40" s="48" t="s">
        <v>386</v>
      </c>
      <c r="C40" s="7"/>
      <c r="D40" s="283">
        <v>1</v>
      </c>
      <c r="E40" s="7"/>
      <c r="F40" s="201" t="s">
        <v>125</v>
      </c>
      <c r="G40" s="7"/>
      <c r="H40" s="309">
        <v>8.5</v>
      </c>
      <c r="I40" s="7"/>
      <c r="J40" s="18">
        <f>D40*H40</f>
        <v>8.5</v>
      </c>
      <c r="K40" s="250"/>
      <c r="L40" s="250"/>
      <c r="M40" s="250"/>
      <c r="N40" s="250"/>
      <c r="O40" s="250"/>
      <c r="P40" s="250"/>
      <c r="Q40" s="250"/>
      <c r="R40" s="250"/>
      <c r="S40" s="250"/>
      <c r="T40" s="250"/>
      <c r="U40" s="250"/>
      <c r="V40" s="250"/>
      <c r="W40" s="250"/>
      <c r="X40" s="250"/>
      <c r="Y40" s="250"/>
      <c r="Z40" s="250"/>
      <c r="AA40" s="250"/>
      <c r="AB40" s="250"/>
      <c r="AC40" s="250"/>
      <c r="AD40" s="250"/>
      <c r="AE40" s="250"/>
      <c r="AF40" s="250"/>
    </row>
    <row r="41" spans="1:32" x14ac:dyDescent="0.2">
      <c r="A41" s="206"/>
      <c r="B41" s="48" t="s">
        <v>285</v>
      </c>
      <c r="C41" s="7"/>
      <c r="D41" s="283">
        <f>D15</f>
        <v>2.5</v>
      </c>
      <c r="E41" s="7"/>
      <c r="F41" s="201" t="s">
        <v>153</v>
      </c>
      <c r="G41" s="7"/>
      <c r="H41" s="309">
        <v>9</v>
      </c>
      <c r="I41" s="7"/>
      <c r="J41" s="18">
        <f>D41*H41</f>
        <v>22.5</v>
      </c>
      <c r="K41" s="250"/>
      <c r="L41" s="250"/>
    </row>
    <row r="42" spans="1:32" x14ac:dyDescent="0.2">
      <c r="A42" s="206"/>
      <c r="B42" s="48" t="s">
        <v>286</v>
      </c>
      <c r="C42" s="7"/>
      <c r="D42" s="151">
        <v>1</v>
      </c>
      <c r="E42" s="7"/>
      <c r="F42" s="201" t="s">
        <v>125</v>
      </c>
      <c r="G42" s="7"/>
      <c r="H42" s="309">
        <f>FertApplicator</f>
        <v>1</v>
      </c>
      <c r="I42" s="7"/>
      <c r="J42" s="18">
        <f>D42*H42</f>
        <v>1</v>
      </c>
      <c r="K42" s="250"/>
      <c r="L42" s="250"/>
    </row>
    <row r="43" spans="1:32" ht="6" customHeight="1" x14ac:dyDescent="0.2">
      <c r="A43" s="206"/>
      <c r="B43" s="7"/>
      <c r="C43" s="7"/>
      <c r="D43" s="38"/>
      <c r="E43" s="7"/>
      <c r="F43" s="8"/>
      <c r="G43" s="7"/>
      <c r="H43" s="54"/>
      <c r="I43" s="7"/>
      <c r="J43" s="18"/>
      <c r="K43" s="250"/>
      <c r="L43" s="250"/>
    </row>
    <row r="44" spans="1:32" x14ac:dyDescent="0.2">
      <c r="A44" s="206"/>
      <c r="B44" s="45" t="s">
        <v>98</v>
      </c>
      <c r="C44" s="7"/>
      <c r="D44" s="38"/>
      <c r="E44" s="7"/>
      <c r="F44" s="8"/>
      <c r="G44" s="7"/>
      <c r="H44" s="54"/>
      <c r="I44" s="7"/>
      <c r="J44" s="218">
        <f>SUM(J45:J47)</f>
        <v>14.625</v>
      </c>
      <c r="K44" s="250"/>
      <c r="L44" s="250"/>
    </row>
    <row r="45" spans="1:32" x14ac:dyDescent="0.2">
      <c r="A45" s="250"/>
      <c r="B45" s="48" t="s">
        <v>254</v>
      </c>
      <c r="C45" s="7"/>
      <c r="D45" s="283">
        <f>D15</f>
        <v>2.5</v>
      </c>
      <c r="E45" s="7"/>
      <c r="F45" s="201" t="s">
        <v>153</v>
      </c>
      <c r="G45" s="7"/>
      <c r="H45" s="154">
        <v>3.85</v>
      </c>
      <c r="I45" s="7"/>
      <c r="J45" s="18">
        <f>D45*H45</f>
        <v>9.625</v>
      </c>
      <c r="K45" s="250"/>
      <c r="L45" s="250"/>
      <c r="M45" s="250"/>
      <c r="N45" s="250"/>
      <c r="O45" s="250"/>
      <c r="P45" s="250"/>
      <c r="Q45" s="250"/>
      <c r="R45" s="250"/>
      <c r="S45" s="250"/>
      <c r="T45" s="250"/>
      <c r="U45" s="250"/>
      <c r="V45" s="250"/>
      <c r="W45" s="250"/>
      <c r="X45" s="250"/>
      <c r="Y45" s="250"/>
      <c r="Z45" s="250"/>
      <c r="AA45" s="250"/>
      <c r="AB45" s="250"/>
      <c r="AC45" s="250"/>
      <c r="AD45" s="250"/>
      <c r="AE45" s="250"/>
      <c r="AF45" s="250"/>
    </row>
    <row r="46" spans="1:32" x14ac:dyDescent="0.2">
      <c r="A46" s="250"/>
      <c r="B46" s="48" t="s">
        <v>127</v>
      </c>
      <c r="C46" s="7"/>
      <c r="D46" s="283">
        <f>D15</f>
        <v>2.5</v>
      </c>
      <c r="E46" s="7"/>
      <c r="F46" s="201" t="s">
        <v>153</v>
      </c>
      <c r="G46" s="7"/>
      <c r="H46" s="154">
        <f>cialf</f>
        <v>2</v>
      </c>
      <c r="I46" s="7"/>
      <c r="J46" s="18">
        <f>D46*H46</f>
        <v>5</v>
      </c>
      <c r="K46" s="250"/>
      <c r="L46" s="250"/>
      <c r="M46" s="250"/>
      <c r="N46" s="250"/>
      <c r="O46" s="250"/>
      <c r="P46" s="250"/>
      <c r="Q46" s="250"/>
      <c r="R46" s="250"/>
      <c r="S46" s="250"/>
      <c r="T46" s="250"/>
      <c r="U46" s="250"/>
      <c r="V46" s="250"/>
      <c r="W46" s="250"/>
      <c r="X46" s="250"/>
      <c r="Y46" s="250"/>
      <c r="Z46" s="250"/>
      <c r="AA46" s="250"/>
      <c r="AB46" s="250"/>
      <c r="AC46" s="250"/>
      <c r="AD46" s="250"/>
      <c r="AE46" s="250"/>
      <c r="AF46" s="250"/>
    </row>
    <row r="47" spans="1:32" x14ac:dyDescent="0.2">
      <c r="A47" s="206"/>
      <c r="B47" s="16"/>
      <c r="C47" s="7"/>
      <c r="D47" s="37"/>
      <c r="E47" s="7"/>
      <c r="F47" s="17"/>
      <c r="G47" s="7"/>
      <c r="H47" s="154"/>
      <c r="I47" s="7"/>
      <c r="J47" s="18"/>
      <c r="K47" s="250"/>
      <c r="L47" s="250"/>
    </row>
    <row r="48" spans="1:32" ht="5.0999999999999996" customHeight="1" x14ac:dyDescent="0.2">
      <c r="A48" s="206"/>
      <c r="B48" s="7"/>
      <c r="C48" s="7"/>
      <c r="D48" s="38"/>
      <c r="E48" s="7"/>
      <c r="F48" s="8"/>
      <c r="G48" s="7"/>
      <c r="H48" s="38"/>
      <c r="I48" s="7"/>
      <c r="J48" s="18"/>
      <c r="K48" s="250"/>
      <c r="L48" s="250"/>
    </row>
    <row r="49" spans="1:33" ht="14.25" x14ac:dyDescent="0.2">
      <c r="A49" s="206"/>
      <c r="B49" s="62" t="s">
        <v>206</v>
      </c>
      <c r="C49" s="7"/>
      <c r="D49" s="38"/>
      <c r="E49" s="7"/>
      <c r="F49" s="8"/>
      <c r="G49" s="7"/>
      <c r="H49" s="38"/>
      <c r="I49" s="7"/>
      <c r="J49" s="18">
        <f>+(J18+J25+J33+J39+J44)*operloan*0.5</f>
        <v>4.5892097763680422</v>
      </c>
      <c r="K49" s="250"/>
      <c r="L49" s="250"/>
    </row>
    <row r="50" spans="1:33" ht="5.25" customHeight="1" x14ac:dyDescent="0.2">
      <c r="A50" s="206"/>
      <c r="B50" s="7"/>
      <c r="C50" s="7"/>
      <c r="D50" s="38"/>
      <c r="E50" s="7"/>
      <c r="F50" s="8"/>
      <c r="G50" s="7"/>
      <c r="H50" s="38"/>
      <c r="I50" s="7"/>
      <c r="J50" s="18"/>
      <c r="K50" s="250"/>
      <c r="L50" s="250"/>
    </row>
    <row r="51" spans="1:33" x14ac:dyDescent="0.2">
      <c r="A51" s="206"/>
      <c r="B51" s="45" t="s">
        <v>151</v>
      </c>
      <c r="C51" s="45"/>
      <c r="D51" s="58"/>
      <c r="E51" s="45"/>
      <c r="F51" s="46"/>
      <c r="G51" s="45"/>
      <c r="H51" s="58"/>
      <c r="I51" s="45"/>
      <c r="J51" s="47">
        <f>SUM(J18:J49)-(J18+J25+J33+J39+J44)</f>
        <v>164.21389765003912</v>
      </c>
      <c r="K51" s="250"/>
      <c r="L51" s="250"/>
    </row>
    <row r="52" spans="1:33" ht="5.25" customHeight="1" x14ac:dyDescent="0.2">
      <c r="A52" s="250"/>
      <c r="B52" s="7"/>
      <c r="C52" s="7"/>
      <c r="D52" s="38"/>
      <c r="E52" s="7"/>
      <c r="F52" s="8"/>
      <c r="G52" s="7"/>
      <c r="H52" s="38"/>
      <c r="I52" s="7"/>
      <c r="J52" s="18"/>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row>
    <row r="53" spans="1:33" s="41" customFormat="1" x14ac:dyDescent="0.2">
      <c r="A53" s="40"/>
      <c r="B53" s="55" t="s">
        <v>152</v>
      </c>
      <c r="C53" s="55"/>
      <c r="D53" s="56"/>
      <c r="E53" s="55"/>
      <c r="F53" s="57"/>
      <c r="G53" s="55"/>
      <c r="H53" s="56"/>
      <c r="I53" s="55"/>
      <c r="J53" s="80">
        <f>J15-J51</f>
        <v>273.28610234996086</v>
      </c>
      <c r="K53" s="250"/>
      <c r="L53" s="250"/>
      <c r="M53" s="40"/>
      <c r="N53" s="40"/>
      <c r="O53" s="40"/>
      <c r="P53" s="40"/>
      <c r="Q53" s="40"/>
      <c r="R53" s="40"/>
      <c r="S53" s="40"/>
      <c r="T53" s="40"/>
      <c r="U53" s="40"/>
      <c r="V53" s="40"/>
      <c r="W53" s="40"/>
      <c r="X53" s="40"/>
      <c r="Y53" s="40"/>
      <c r="Z53" s="40"/>
      <c r="AA53" s="40"/>
      <c r="AB53" s="40"/>
      <c r="AC53" s="40"/>
      <c r="AD53" s="40"/>
      <c r="AE53" s="40"/>
      <c r="AF53" s="40"/>
      <c r="AG53" s="40"/>
    </row>
    <row r="54" spans="1:33" ht="23.25" customHeight="1" x14ac:dyDescent="0.2">
      <c r="A54" s="206"/>
      <c r="B54" s="6" t="s">
        <v>204</v>
      </c>
      <c r="C54" s="7"/>
      <c r="D54" s="38"/>
      <c r="E54" s="7"/>
      <c r="F54" s="8"/>
      <c r="G54" s="7"/>
      <c r="H54" s="38"/>
      <c r="I54" s="7"/>
      <c r="J54" s="18"/>
      <c r="K54" s="250"/>
      <c r="L54" s="250"/>
    </row>
    <row r="55" spans="1:33" x14ac:dyDescent="0.2">
      <c r="A55" s="250"/>
      <c r="B55" s="404" t="s">
        <v>321</v>
      </c>
      <c r="C55" s="404"/>
      <c r="D55" s="404"/>
      <c r="E55" s="7"/>
      <c r="F55" s="8"/>
      <c r="G55" s="7"/>
      <c r="H55" s="357">
        <f>'Machinery Costs'!C56</f>
        <v>27.206580000000002</v>
      </c>
      <c r="I55" s="7"/>
      <c r="J55" s="18">
        <f>H55</f>
        <v>27.206580000000002</v>
      </c>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row>
    <row r="56" spans="1:33" x14ac:dyDescent="0.2">
      <c r="A56" s="250"/>
      <c r="B56" s="404" t="s">
        <v>322</v>
      </c>
      <c r="C56" s="404"/>
      <c r="D56" s="404"/>
      <c r="E56" s="7"/>
      <c r="F56" s="8"/>
      <c r="G56" s="7"/>
      <c r="H56" s="357">
        <f>'Machinery Costs'!D56</f>
        <v>16.69782</v>
      </c>
      <c r="I56" s="7"/>
      <c r="J56" s="18">
        <f t="shared" ref="J56:J57" si="0">H56</f>
        <v>16.69782</v>
      </c>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row>
    <row r="57" spans="1:33" x14ac:dyDescent="0.2">
      <c r="A57" s="250"/>
      <c r="B57" s="404" t="s">
        <v>323</v>
      </c>
      <c r="C57" s="404"/>
      <c r="D57" s="404"/>
      <c r="E57" s="7"/>
      <c r="F57" s="8"/>
      <c r="G57" s="7"/>
      <c r="H57" s="357">
        <f>'Machinery Costs'!E56</f>
        <v>4.4960800000000001</v>
      </c>
      <c r="I57" s="7"/>
      <c r="J57" s="18">
        <f t="shared" si="0"/>
        <v>4.4960800000000001</v>
      </c>
      <c r="K57" s="36"/>
      <c r="L57" s="36"/>
      <c r="M57" s="250"/>
      <c r="N57" s="250"/>
      <c r="O57" s="250"/>
      <c r="P57" s="250"/>
      <c r="Q57" s="250"/>
      <c r="R57" s="250"/>
      <c r="S57" s="250"/>
      <c r="T57" s="250"/>
      <c r="U57" s="250"/>
      <c r="V57" s="250"/>
      <c r="W57" s="250"/>
      <c r="X57" s="250"/>
      <c r="Y57" s="250"/>
      <c r="Z57" s="250"/>
      <c r="AA57" s="250"/>
      <c r="AB57" s="250"/>
      <c r="AC57" s="250"/>
      <c r="AD57" s="250"/>
      <c r="AE57" s="250"/>
      <c r="AF57" s="250"/>
      <c r="AG57" s="250"/>
    </row>
    <row r="58" spans="1:33" x14ac:dyDescent="0.2">
      <c r="A58" s="250"/>
      <c r="B58" s="44"/>
      <c r="C58" s="44"/>
      <c r="D58" s="66"/>
      <c r="E58" s="44"/>
      <c r="F58" s="66"/>
      <c r="G58" s="7"/>
      <c r="H58" s="38"/>
      <c r="I58" s="7"/>
      <c r="J58" s="18"/>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row>
    <row r="59" spans="1:33" x14ac:dyDescent="0.2">
      <c r="A59" s="250"/>
      <c r="B59" s="48" t="s">
        <v>166</v>
      </c>
      <c r="C59" s="7"/>
      <c r="D59" s="37">
        <v>1</v>
      </c>
      <c r="E59" s="7"/>
      <c r="F59" s="17" t="s">
        <v>125</v>
      </c>
      <c r="G59" s="7"/>
      <c r="H59" s="70">
        <f>+(D15*H15)*D61-(J18+J25+J46)*D61</f>
        <v>122.4106125</v>
      </c>
      <c r="I59" s="7"/>
      <c r="J59" s="18">
        <f>+H59</f>
        <v>122.4106125</v>
      </c>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row>
    <row r="60" spans="1:33" ht="12.75" customHeight="1" x14ac:dyDescent="0.2">
      <c r="A60" s="250"/>
      <c r="B60" s="62" t="s">
        <v>260</v>
      </c>
      <c r="C60" s="7"/>
      <c r="D60" s="38"/>
      <c r="E60" s="7"/>
      <c r="F60" s="8"/>
      <c r="G60" s="7"/>
      <c r="H60" s="78"/>
      <c r="I60" s="7"/>
      <c r="J60" s="18"/>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row>
    <row r="61" spans="1:33" ht="12.75" customHeight="1" x14ac:dyDescent="0.2">
      <c r="A61" s="250"/>
      <c r="B61" s="7" t="s">
        <v>167</v>
      </c>
      <c r="C61" s="7"/>
      <c r="D61" s="317">
        <v>0.33</v>
      </c>
      <c r="E61" s="7"/>
      <c r="F61" s="8"/>
      <c r="G61" s="7"/>
      <c r="H61" s="54"/>
      <c r="I61" s="7"/>
      <c r="J61" s="18"/>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row>
    <row r="62" spans="1:33" ht="12.75" customHeight="1" x14ac:dyDescent="0.2">
      <c r="A62" s="250"/>
      <c r="B62" s="7" t="s">
        <v>168</v>
      </c>
      <c r="C62" s="7"/>
      <c r="D62" s="317">
        <v>0.67</v>
      </c>
      <c r="E62" s="7"/>
      <c r="F62" s="8"/>
      <c r="G62" s="7"/>
      <c r="H62" s="54"/>
      <c r="I62" s="7"/>
      <c r="J62" s="18"/>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row>
    <row r="63" spans="1:33" x14ac:dyDescent="0.2">
      <c r="A63" s="250"/>
      <c r="B63" s="44"/>
      <c r="C63" s="44"/>
      <c r="D63" s="66"/>
      <c r="E63" s="44"/>
      <c r="F63" s="66"/>
      <c r="G63" s="7"/>
      <c r="H63" s="38"/>
      <c r="I63" s="7"/>
      <c r="J63" s="18"/>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row>
    <row r="64" spans="1:33" x14ac:dyDescent="0.2">
      <c r="A64" s="206"/>
      <c r="B64" s="226" t="s">
        <v>222</v>
      </c>
      <c r="C64" s="44"/>
      <c r="D64" s="66"/>
      <c r="E64" s="44"/>
      <c r="F64" s="66"/>
      <c r="G64" s="7"/>
      <c r="H64" s="38"/>
      <c r="I64" s="7"/>
      <c r="J64" s="18">
        <f>cashrent</f>
        <v>0</v>
      </c>
      <c r="K64" s="250"/>
      <c r="L64" s="250"/>
    </row>
    <row r="65" spans="1:33" x14ac:dyDescent="0.2">
      <c r="A65" s="250"/>
      <c r="B65" s="120" t="s">
        <v>258</v>
      </c>
      <c r="C65" s="79"/>
      <c r="D65" s="284">
        <v>7.4999999999999997E-2</v>
      </c>
      <c r="E65" s="7"/>
      <c r="F65" s="17" t="s">
        <v>125</v>
      </c>
      <c r="G65" s="7"/>
      <c r="H65" s="285">
        <f>PMT(D65,D66,'NI-AHE-15'!J76)</f>
        <v>61.662838000727888</v>
      </c>
      <c r="I65" s="7"/>
      <c r="J65" s="18">
        <f>+H65</f>
        <v>61.662838000727888</v>
      </c>
      <c r="K65" s="250"/>
      <c r="L65" s="250"/>
      <c r="M65" s="250"/>
      <c r="N65" s="250"/>
      <c r="O65" s="250"/>
      <c r="P65" s="250"/>
      <c r="Q65" s="250"/>
      <c r="R65" s="250"/>
      <c r="S65" s="250"/>
      <c r="T65" s="250"/>
      <c r="U65" s="250"/>
      <c r="V65" s="250"/>
      <c r="W65" s="250"/>
      <c r="X65" s="250"/>
      <c r="Y65" s="250"/>
      <c r="Z65" s="250"/>
      <c r="AA65" s="250"/>
      <c r="AB65" s="250"/>
      <c r="AC65" s="250"/>
      <c r="AD65" s="250"/>
      <c r="AE65" s="250"/>
      <c r="AF65" s="250"/>
    </row>
    <row r="66" spans="1:33" ht="12.75" customHeight="1" x14ac:dyDescent="0.2">
      <c r="A66" s="250"/>
      <c r="B66" s="62" t="s">
        <v>259</v>
      </c>
      <c r="C66" s="7"/>
      <c r="D66" s="315">
        <f>yrs</f>
        <v>4</v>
      </c>
      <c r="E66" s="7"/>
      <c r="F66" s="8"/>
      <c r="G66" s="7"/>
      <c r="H66" s="78"/>
      <c r="I66" s="7"/>
      <c r="J66" s="18"/>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row>
    <row r="67" spans="1:33" ht="12.75" customHeight="1" x14ac:dyDescent="0.2">
      <c r="A67" s="250"/>
      <c r="B67" s="8"/>
      <c r="C67" s="8"/>
      <c r="D67" s="8"/>
      <c r="E67" s="7"/>
      <c r="F67" s="8"/>
      <c r="G67" s="7"/>
      <c r="H67" s="54"/>
      <c r="I67" s="7"/>
      <c r="J67" s="18"/>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row>
    <row r="68" spans="1:33" x14ac:dyDescent="0.2">
      <c r="A68" s="206"/>
      <c r="B68" s="120" t="s">
        <v>316</v>
      </c>
      <c r="C68" s="44"/>
      <c r="D68" s="66"/>
      <c r="E68" s="44"/>
      <c r="F68" s="66"/>
      <c r="G68" s="7"/>
      <c r="H68" s="38"/>
      <c r="I68" s="7"/>
      <c r="J68" s="18">
        <f>0.05*J51</f>
        <v>8.2106948825019561</v>
      </c>
      <c r="K68" s="250"/>
      <c r="L68" s="250"/>
    </row>
    <row r="69" spans="1:33" x14ac:dyDescent="0.2">
      <c r="A69" s="250"/>
      <c r="B69" s="120" t="s">
        <v>317</v>
      </c>
      <c r="C69" s="79"/>
      <c r="D69" s="52"/>
      <c r="E69" s="7"/>
      <c r="F69" s="8"/>
      <c r="G69" s="7"/>
      <c r="H69" s="38"/>
      <c r="I69" s="7"/>
      <c r="J69" s="18">
        <f>J15*0.05</f>
        <v>21.875</v>
      </c>
      <c r="K69" s="250"/>
      <c r="L69" s="250"/>
      <c r="M69" s="250"/>
      <c r="N69" s="250"/>
      <c r="O69" s="250"/>
      <c r="P69" s="250"/>
      <c r="Q69" s="250"/>
      <c r="R69" s="250"/>
      <c r="S69" s="250"/>
      <c r="T69" s="250"/>
      <c r="U69" s="250"/>
      <c r="V69" s="250"/>
      <c r="W69" s="250"/>
      <c r="X69" s="250"/>
      <c r="Y69" s="250"/>
      <c r="Z69" s="250"/>
      <c r="AA69" s="250"/>
      <c r="AB69" s="250"/>
      <c r="AC69" s="250"/>
      <c r="AD69" s="250"/>
      <c r="AE69" s="250"/>
      <c r="AF69" s="250"/>
    </row>
    <row r="70" spans="1:33" ht="6" customHeight="1" x14ac:dyDescent="0.2">
      <c r="A70" s="206"/>
      <c r="B70" s="7"/>
      <c r="C70" s="7"/>
      <c r="D70" s="38"/>
      <c r="E70" s="7"/>
      <c r="F70" s="8"/>
      <c r="G70" s="7"/>
      <c r="H70" s="38"/>
      <c r="I70" s="7"/>
      <c r="J70" s="18"/>
      <c r="K70" s="250"/>
      <c r="L70" s="250"/>
    </row>
    <row r="71" spans="1:33" x14ac:dyDescent="0.2">
      <c r="A71" s="206"/>
      <c r="B71" s="45" t="s">
        <v>150</v>
      </c>
      <c r="C71" s="45"/>
      <c r="D71" s="58"/>
      <c r="E71" s="45"/>
      <c r="F71" s="46"/>
      <c r="G71" s="45"/>
      <c r="H71" s="58"/>
      <c r="I71" s="45"/>
      <c r="J71" s="47">
        <f>SUM(J54:J69)</f>
        <v>262.55962538322984</v>
      </c>
      <c r="K71" s="250"/>
      <c r="L71" s="250"/>
    </row>
    <row r="72" spans="1:33" ht="5.25" customHeight="1" x14ac:dyDescent="0.2">
      <c r="A72" s="206"/>
      <c r="B72" s="7"/>
      <c r="C72" s="7"/>
      <c r="D72" s="38"/>
      <c r="E72" s="7"/>
      <c r="F72" s="8"/>
      <c r="G72" s="7"/>
      <c r="H72" s="38"/>
      <c r="I72" s="7"/>
      <c r="J72" s="18"/>
      <c r="K72" s="250"/>
      <c r="L72" s="250"/>
    </row>
    <row r="73" spans="1:33" x14ac:dyDescent="0.2">
      <c r="A73" s="206"/>
      <c r="B73" s="45" t="s">
        <v>60</v>
      </c>
      <c r="C73" s="45"/>
      <c r="D73" s="58"/>
      <c r="E73" s="45"/>
      <c r="F73" s="46"/>
      <c r="G73" s="45"/>
      <c r="H73" s="58"/>
      <c r="I73" s="45"/>
      <c r="J73" s="47">
        <f>J51+J71</f>
        <v>426.77352303326893</v>
      </c>
      <c r="K73" s="250"/>
      <c r="L73" s="250"/>
    </row>
    <row r="74" spans="1:33" x14ac:dyDescent="0.2">
      <c r="A74" s="250"/>
      <c r="B74" s="62" t="s">
        <v>315</v>
      </c>
      <c r="C74" s="45"/>
      <c r="D74" s="58"/>
      <c r="E74" s="45"/>
      <c r="F74" s="46"/>
      <c r="G74" s="45"/>
      <c r="H74" s="58"/>
      <c r="I74" s="45"/>
      <c r="J74" s="47">
        <f>J73/D15</f>
        <v>170.70940921330757</v>
      </c>
      <c r="K74" s="250"/>
      <c r="L74" s="250"/>
      <c r="M74" s="250"/>
      <c r="N74" s="250"/>
      <c r="O74" s="250"/>
      <c r="P74" s="250"/>
      <c r="Q74" s="250"/>
      <c r="R74" s="250"/>
      <c r="S74" s="250"/>
      <c r="T74" s="250"/>
      <c r="U74" s="250"/>
      <c r="V74" s="250"/>
      <c r="W74" s="250"/>
      <c r="X74" s="250"/>
      <c r="Y74" s="250"/>
      <c r="Z74" s="250"/>
      <c r="AA74" s="250"/>
      <c r="AB74" s="250"/>
      <c r="AC74" s="250"/>
      <c r="AD74" s="250"/>
      <c r="AE74" s="250"/>
      <c r="AF74" s="250"/>
    </row>
    <row r="75" spans="1:33" x14ac:dyDescent="0.2">
      <c r="A75" s="250"/>
      <c r="B75" s="7"/>
      <c r="C75" s="7"/>
      <c r="D75" s="38"/>
      <c r="E75" s="7"/>
      <c r="F75" s="8"/>
      <c r="G75" s="7"/>
      <c r="H75" s="38"/>
      <c r="I75" s="7"/>
      <c r="J75" s="18"/>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row>
    <row r="76" spans="1:33" s="41" customFormat="1" x14ac:dyDescent="0.2">
      <c r="A76" s="40"/>
      <c r="B76" s="45" t="s">
        <v>61</v>
      </c>
      <c r="C76" s="45"/>
      <c r="D76" s="58"/>
      <c r="E76" s="45"/>
      <c r="F76" s="46"/>
      <c r="G76" s="45"/>
      <c r="H76" s="58"/>
      <c r="I76" s="45"/>
      <c r="J76" s="47">
        <f>J15-J73</f>
        <v>10.72647696673107</v>
      </c>
      <c r="K76" s="250"/>
      <c r="L76" s="250"/>
      <c r="M76" s="40"/>
      <c r="N76" s="40"/>
      <c r="O76" s="40"/>
      <c r="P76" s="40"/>
      <c r="Q76" s="40"/>
      <c r="R76" s="40"/>
      <c r="S76" s="40"/>
      <c r="T76" s="40"/>
      <c r="U76" s="40"/>
      <c r="V76" s="40"/>
      <c r="W76" s="40"/>
      <c r="X76" s="40"/>
      <c r="Y76" s="40"/>
      <c r="Z76" s="40"/>
      <c r="AA76" s="40"/>
      <c r="AB76" s="40"/>
      <c r="AC76" s="40"/>
      <c r="AD76" s="40"/>
      <c r="AE76" s="40"/>
      <c r="AF76" s="40"/>
      <c r="AG76" s="40"/>
    </row>
    <row r="77" spans="1:33" ht="6.75" customHeight="1" x14ac:dyDescent="0.2">
      <c r="A77" s="206"/>
      <c r="B77" s="3"/>
      <c r="C77" s="3"/>
      <c r="D77" s="2"/>
      <c r="E77" s="3"/>
      <c r="F77" s="4"/>
      <c r="G77" s="3"/>
      <c r="H77" s="2"/>
      <c r="I77" s="3"/>
      <c r="J77" s="5"/>
    </row>
    <row r="78" spans="1:33" x14ac:dyDescent="0.2">
      <c r="A78" s="206"/>
      <c r="B78" s="49" t="s">
        <v>62</v>
      </c>
      <c r="C78" s="49"/>
      <c r="D78" s="68"/>
      <c r="E78" s="49"/>
      <c r="F78" s="50"/>
      <c r="G78" s="49"/>
      <c r="H78" s="68"/>
      <c r="I78" s="49"/>
      <c r="J78" s="49"/>
    </row>
    <row r="79" spans="1:33" s="206" customFormat="1" ht="14.25" customHeight="1" x14ac:dyDescent="0.2">
      <c r="B79" s="403" t="s">
        <v>389</v>
      </c>
      <c r="C79" s="403"/>
      <c r="D79" s="403"/>
      <c r="E79" s="403"/>
      <c r="F79" s="403"/>
      <c r="G79" s="403"/>
      <c r="H79" s="403"/>
      <c r="I79" s="403"/>
      <c r="J79" s="403"/>
    </row>
    <row r="80" spans="1:33" s="206" customFormat="1" ht="14.25" x14ac:dyDescent="0.2">
      <c r="B80" s="403" t="s">
        <v>390</v>
      </c>
      <c r="C80" s="403"/>
      <c r="D80" s="403"/>
      <c r="E80" s="403"/>
      <c r="F80" s="403"/>
      <c r="G80" s="403"/>
      <c r="H80" s="403"/>
      <c r="I80" s="403"/>
      <c r="J80" s="403"/>
    </row>
    <row r="81" spans="1:10" s="206" customFormat="1" ht="17.25" customHeight="1" x14ac:dyDescent="0.2">
      <c r="B81" s="399" t="s">
        <v>214</v>
      </c>
      <c r="C81" s="400"/>
      <c r="D81" s="400"/>
      <c r="E81" s="400"/>
      <c r="F81" s="400"/>
      <c r="G81" s="400"/>
      <c r="H81" s="400"/>
      <c r="I81" s="400"/>
      <c r="J81" s="400"/>
    </row>
    <row r="82" spans="1:10" x14ac:dyDescent="0.2">
      <c r="A82" s="250"/>
      <c r="B82" s="7"/>
      <c r="C82" s="7"/>
      <c r="D82" s="38"/>
      <c r="E82" s="7"/>
      <c r="F82" s="8"/>
      <c r="G82" s="7"/>
      <c r="H82" s="38"/>
      <c r="I82" s="7"/>
      <c r="J82" s="7"/>
    </row>
    <row r="83" spans="1:10" x14ac:dyDescent="0.2">
      <c r="A83" s="250"/>
      <c r="B83" s="20" t="s">
        <v>63</v>
      </c>
      <c r="C83" s="7"/>
      <c r="D83" s="21" t="s">
        <v>64</v>
      </c>
      <c r="E83" s="7"/>
      <c r="F83" s="8"/>
      <c r="G83" s="7"/>
      <c r="H83" s="21" t="s">
        <v>66</v>
      </c>
      <c r="I83" s="7"/>
      <c r="J83" s="7"/>
    </row>
    <row r="84" spans="1:10" s="206" customFormat="1" x14ac:dyDescent="0.2">
      <c r="A84" s="250"/>
      <c r="B84" s="7"/>
      <c r="C84" s="7"/>
      <c r="D84" s="22">
        <v>0.1</v>
      </c>
      <c r="E84" s="7"/>
      <c r="F84" s="8" t="s">
        <v>65</v>
      </c>
      <c r="G84" s="7"/>
      <c r="H84" s="22">
        <v>0.1</v>
      </c>
      <c r="I84" s="7"/>
      <c r="J84" s="7"/>
    </row>
    <row r="85" spans="1:10" s="206" customFormat="1" x14ac:dyDescent="0.2">
      <c r="A85" s="250"/>
      <c r="B85" s="7"/>
      <c r="C85" s="7"/>
      <c r="D85" s="23"/>
      <c r="E85" s="3"/>
      <c r="F85" s="2" t="s">
        <v>67</v>
      </c>
      <c r="G85" s="3"/>
      <c r="H85" s="23"/>
      <c r="I85" s="7"/>
      <c r="J85" s="7"/>
    </row>
    <row r="86" spans="1:10" s="206" customFormat="1" x14ac:dyDescent="0.2">
      <c r="A86" s="250"/>
      <c r="B86" s="24" t="s">
        <v>109</v>
      </c>
      <c r="C86" s="7"/>
      <c r="D86" s="121">
        <f>F86*(1-D84)</f>
        <v>2.25</v>
      </c>
      <c r="E86" s="25"/>
      <c r="F86" s="286">
        <f>D15</f>
        <v>2.5</v>
      </c>
      <c r="G86" s="25"/>
      <c r="H86" s="121">
        <f>F86*(1+H84)</f>
        <v>2.75</v>
      </c>
      <c r="I86" s="7"/>
      <c r="J86" s="7"/>
    </row>
    <row r="87" spans="1:10" s="206" customFormat="1" x14ac:dyDescent="0.2">
      <c r="A87" s="250"/>
      <c r="B87" s="7"/>
      <c r="C87" s="7"/>
      <c r="D87" s="38"/>
      <c r="E87" s="7"/>
      <c r="F87" s="8"/>
      <c r="G87" s="7"/>
      <c r="H87" s="38"/>
      <c r="I87" s="7"/>
      <c r="J87" s="7"/>
    </row>
    <row r="88" spans="1:10" s="206" customFormat="1" x14ac:dyDescent="0.2">
      <c r="A88" s="250"/>
      <c r="B88" s="7" t="s">
        <v>110</v>
      </c>
      <c r="C88" s="7"/>
      <c r="D88" s="26">
        <f>$J$51/D86</f>
        <v>72.983954511128502</v>
      </c>
      <c r="E88" s="7"/>
      <c r="F88" s="26">
        <f>$J$51/F86</f>
        <v>65.685559060015649</v>
      </c>
      <c r="G88" s="7"/>
      <c r="H88" s="26">
        <f>$J$51/H86</f>
        <v>59.714144600014222</v>
      </c>
      <c r="I88" s="7"/>
      <c r="J88" s="7"/>
    </row>
    <row r="89" spans="1:10" s="206" customFormat="1" ht="5.25" customHeight="1" x14ac:dyDescent="0.2">
      <c r="A89" s="250"/>
      <c r="B89" s="7"/>
      <c r="C89" s="7"/>
      <c r="D89" s="38"/>
      <c r="E89" s="7"/>
      <c r="F89" s="8"/>
      <c r="G89" s="7"/>
      <c r="H89" s="38"/>
      <c r="I89" s="7"/>
      <c r="J89" s="7"/>
    </row>
    <row r="90" spans="1:10" s="206" customFormat="1" x14ac:dyDescent="0.2">
      <c r="A90" s="250"/>
      <c r="B90" s="7" t="s">
        <v>111</v>
      </c>
      <c r="C90" s="7"/>
      <c r="D90" s="26">
        <f>$J$71/D86</f>
        <v>116.69316683699104</v>
      </c>
      <c r="E90" s="7"/>
      <c r="F90" s="26">
        <f>$J$71/F86</f>
        <v>105.02385015329193</v>
      </c>
      <c r="G90" s="7"/>
      <c r="H90" s="26">
        <f>$J$71/H86</f>
        <v>95.476227412083574</v>
      </c>
      <c r="I90" s="7"/>
      <c r="J90" s="7"/>
    </row>
    <row r="91" spans="1:10" s="206" customFormat="1" ht="5.25" customHeight="1" x14ac:dyDescent="0.2">
      <c r="A91" s="250"/>
      <c r="B91" s="7"/>
      <c r="C91" s="7"/>
      <c r="D91" s="38"/>
      <c r="E91" s="7"/>
      <c r="F91" s="8"/>
      <c r="G91" s="7"/>
      <c r="H91" s="38"/>
      <c r="I91" s="7"/>
      <c r="J91" s="7"/>
    </row>
    <row r="92" spans="1:10" s="206" customFormat="1" x14ac:dyDescent="0.2">
      <c r="A92" s="250"/>
      <c r="B92" s="7" t="s">
        <v>123</v>
      </c>
      <c r="C92" s="7"/>
      <c r="D92" s="26">
        <f>$J$73/D86</f>
        <v>189.67712134811953</v>
      </c>
      <c r="E92" s="7"/>
      <c r="F92" s="26">
        <f>$J$73/F86</f>
        <v>170.70940921330757</v>
      </c>
      <c r="G92" s="7"/>
      <c r="H92" s="26">
        <f>$J$73/H86</f>
        <v>155.19037201209778</v>
      </c>
      <c r="I92" s="7"/>
      <c r="J92" s="7"/>
    </row>
    <row r="93" spans="1:10" x14ac:dyDescent="0.2">
      <c r="A93" s="250"/>
      <c r="B93" s="10"/>
      <c r="C93" s="10"/>
      <c r="D93" s="64"/>
      <c r="E93" s="10"/>
      <c r="F93" s="14"/>
      <c r="G93" s="10"/>
      <c r="H93" s="64"/>
      <c r="I93" s="10"/>
      <c r="J93" s="10"/>
    </row>
    <row r="94" spans="1:10" x14ac:dyDescent="0.2">
      <c r="A94" s="250"/>
      <c r="B94" s="10"/>
      <c r="C94" s="10"/>
      <c r="D94" s="21" t="s">
        <v>64</v>
      </c>
      <c r="E94" s="7"/>
      <c r="F94" s="8"/>
      <c r="G94" s="7"/>
      <c r="H94" s="21" t="s">
        <v>66</v>
      </c>
      <c r="I94" s="10"/>
      <c r="J94" s="10"/>
    </row>
    <row r="95" spans="1:10" x14ac:dyDescent="0.2">
      <c r="A95" s="250"/>
      <c r="B95" s="7"/>
      <c r="C95" s="7"/>
      <c r="D95" s="22">
        <v>0.1</v>
      </c>
      <c r="E95" s="7"/>
      <c r="F95" s="8" t="s">
        <v>65</v>
      </c>
      <c r="G95" s="7"/>
      <c r="H95" s="22">
        <v>0.1</v>
      </c>
      <c r="I95" s="7"/>
      <c r="J95" s="7"/>
    </row>
    <row r="96" spans="1:10" x14ac:dyDescent="0.2">
      <c r="A96" s="250"/>
      <c r="B96" s="7"/>
      <c r="C96" s="7"/>
      <c r="D96" s="2"/>
      <c r="E96" s="3"/>
      <c r="F96" s="4" t="s">
        <v>109</v>
      </c>
      <c r="G96" s="3"/>
      <c r="H96" s="2"/>
      <c r="I96" s="7"/>
      <c r="J96" s="7"/>
    </row>
    <row r="97" spans="1:10" x14ac:dyDescent="0.2">
      <c r="A97" s="250"/>
      <c r="B97" s="24" t="s">
        <v>67</v>
      </c>
      <c r="C97" s="7"/>
      <c r="D97" s="27">
        <f>F97*(1-D84)</f>
        <v>157.5</v>
      </c>
      <c r="E97" s="25"/>
      <c r="F97" s="28">
        <f>H15</f>
        <v>175</v>
      </c>
      <c r="G97" s="25"/>
      <c r="H97" s="27">
        <f>F97*(1+H84)</f>
        <v>192.50000000000003</v>
      </c>
      <c r="I97" s="7"/>
      <c r="J97" s="7"/>
    </row>
    <row r="98" spans="1:10" x14ac:dyDescent="0.2">
      <c r="A98" s="250"/>
      <c r="B98" s="7"/>
      <c r="C98" s="7"/>
      <c r="D98" s="38"/>
      <c r="E98" s="7"/>
      <c r="F98" s="8"/>
      <c r="G98" s="7"/>
      <c r="H98" s="38"/>
      <c r="I98" s="7"/>
      <c r="J98" s="7"/>
    </row>
    <row r="99" spans="1:10" x14ac:dyDescent="0.2">
      <c r="A99" s="250"/>
      <c r="B99" s="7" t="s">
        <v>110</v>
      </c>
      <c r="C99" s="7"/>
      <c r="D99" s="287">
        <f>$J$51/D97</f>
        <v>1.04262792158755</v>
      </c>
      <c r="E99" s="288"/>
      <c r="F99" s="287">
        <f>$J$51/F97</f>
        <v>0.93836512942879491</v>
      </c>
      <c r="G99" s="288"/>
      <c r="H99" s="287">
        <f>$J$51/H97</f>
        <v>0.85305920857163164</v>
      </c>
      <c r="I99" s="7"/>
      <c r="J99" s="7"/>
    </row>
    <row r="100" spans="1:10" ht="5.25" customHeight="1" x14ac:dyDescent="0.2">
      <c r="A100" s="250"/>
      <c r="B100" s="7"/>
      <c r="C100" s="7"/>
      <c r="D100" s="289"/>
      <c r="E100" s="288"/>
      <c r="F100" s="287"/>
      <c r="G100" s="288"/>
      <c r="H100" s="289"/>
      <c r="I100" s="7"/>
      <c r="J100" s="7"/>
    </row>
    <row r="101" spans="1:10" x14ac:dyDescent="0.2">
      <c r="A101" s="250"/>
      <c r="B101" s="7" t="s">
        <v>111</v>
      </c>
      <c r="C101" s="7"/>
      <c r="D101" s="287">
        <f>$J$71/D97</f>
        <v>1.6670452405284435</v>
      </c>
      <c r="E101" s="288"/>
      <c r="F101" s="287">
        <f>$J$71/F97</f>
        <v>1.5003407164755991</v>
      </c>
      <c r="G101" s="288"/>
      <c r="H101" s="287">
        <f>$J$71/H97</f>
        <v>1.363946105886908</v>
      </c>
      <c r="I101" s="7"/>
      <c r="J101" s="7"/>
    </row>
    <row r="102" spans="1:10" ht="5.25" customHeight="1" x14ac:dyDescent="0.2">
      <c r="A102" s="250"/>
      <c r="B102" s="7"/>
      <c r="C102" s="7"/>
      <c r="D102" s="289"/>
      <c r="E102" s="288"/>
      <c r="F102" s="287"/>
      <c r="G102" s="288"/>
      <c r="H102" s="289"/>
      <c r="I102" s="7"/>
      <c r="J102" s="7"/>
    </row>
    <row r="103" spans="1:10" x14ac:dyDescent="0.2">
      <c r="A103" s="250"/>
      <c r="B103" s="7" t="s">
        <v>123</v>
      </c>
      <c r="C103" s="7"/>
      <c r="D103" s="287">
        <f>$J$73/D97</f>
        <v>2.7096731621159931</v>
      </c>
      <c r="E103" s="288"/>
      <c r="F103" s="287">
        <f>$J$73/F97</f>
        <v>2.4387058459043938</v>
      </c>
      <c r="G103" s="288"/>
      <c r="H103" s="287">
        <f>$J$73/H97</f>
        <v>2.2170053144585395</v>
      </c>
      <c r="I103" s="7"/>
      <c r="J103" s="7"/>
    </row>
    <row r="104" spans="1:10" x14ac:dyDescent="0.2">
      <c r="A104" s="250"/>
      <c r="B104" s="7"/>
      <c r="C104" s="7"/>
      <c r="D104" s="38"/>
      <c r="E104" s="7"/>
      <c r="F104" s="8"/>
      <c r="G104" s="7"/>
      <c r="H104" s="38"/>
      <c r="I104" s="7"/>
      <c r="J104" s="7"/>
    </row>
    <row r="105" spans="1:10" x14ac:dyDescent="0.2">
      <c r="A105" s="250"/>
      <c r="B105" s="3"/>
      <c r="C105" s="3"/>
      <c r="D105" s="2"/>
      <c r="E105" s="3"/>
      <c r="F105" s="4"/>
      <c r="G105" s="3"/>
      <c r="H105" s="2"/>
      <c r="I105" s="3"/>
      <c r="J105" s="3"/>
    </row>
    <row r="106" spans="1:10" x14ac:dyDescent="0.2">
      <c r="A106" s="206"/>
      <c r="B106" s="206"/>
      <c r="C106" s="206"/>
      <c r="D106" s="51"/>
      <c r="E106" s="206"/>
      <c r="F106" s="35"/>
      <c r="G106" s="206"/>
      <c r="H106" s="51"/>
      <c r="I106" s="206"/>
      <c r="J106" s="206"/>
    </row>
    <row r="107" spans="1:10" x14ac:dyDescent="0.2">
      <c r="A107" s="206"/>
      <c r="B107" s="206"/>
      <c r="C107" s="206"/>
      <c r="D107" s="51"/>
      <c r="E107" s="206"/>
      <c r="F107" s="35"/>
      <c r="G107" s="206"/>
      <c r="H107" s="51"/>
      <c r="I107" s="206"/>
      <c r="J107" s="206"/>
    </row>
    <row r="108" spans="1:10" x14ac:dyDescent="0.2">
      <c r="A108" s="206"/>
      <c r="B108" s="206"/>
      <c r="C108" s="206"/>
      <c r="D108" s="51"/>
      <c r="E108" s="206"/>
      <c r="F108" s="35"/>
      <c r="G108" s="206"/>
      <c r="H108" s="51"/>
      <c r="I108" s="206"/>
      <c r="J108" s="206"/>
    </row>
    <row r="109" spans="1:10" x14ac:dyDescent="0.2">
      <c r="A109" s="206"/>
      <c r="B109" s="206"/>
      <c r="C109" s="206"/>
      <c r="D109" s="51"/>
      <c r="E109" s="206"/>
      <c r="F109" s="35"/>
      <c r="G109" s="206"/>
      <c r="H109" s="51"/>
      <c r="I109" s="206"/>
      <c r="J109" s="206"/>
    </row>
    <row r="110" spans="1:10" x14ac:dyDescent="0.2">
      <c r="A110" s="206"/>
      <c r="B110" s="206"/>
      <c r="C110" s="206"/>
      <c r="D110" s="51"/>
      <c r="E110" s="206"/>
      <c r="F110" s="35"/>
      <c r="G110" s="206"/>
      <c r="H110" s="51"/>
      <c r="I110" s="206"/>
      <c r="J110" s="206"/>
    </row>
    <row r="111" spans="1:10" x14ac:dyDescent="0.2">
      <c r="A111" s="206"/>
      <c r="B111" s="206"/>
      <c r="C111" s="206"/>
      <c r="D111" s="51"/>
      <c r="E111" s="206"/>
      <c r="F111" s="35"/>
      <c r="G111" s="206"/>
      <c r="H111" s="51"/>
      <c r="I111" s="206"/>
      <c r="J111" s="206"/>
    </row>
    <row r="112" spans="1:10" x14ac:dyDescent="0.2">
      <c r="A112" s="206"/>
      <c r="B112" s="206"/>
      <c r="C112" s="206"/>
      <c r="D112" s="51"/>
      <c r="E112" s="206"/>
      <c r="F112" s="35"/>
      <c r="G112" s="206"/>
      <c r="H112" s="51"/>
      <c r="I112" s="206"/>
      <c r="J112" s="206"/>
    </row>
    <row r="113" spans="1:10" x14ac:dyDescent="0.2">
      <c r="A113" s="206"/>
      <c r="B113" s="206"/>
      <c r="C113" s="206"/>
      <c r="D113" s="51"/>
      <c r="E113" s="206"/>
      <c r="F113" s="35"/>
      <c r="G113" s="206"/>
      <c r="H113" s="51"/>
      <c r="I113" s="206"/>
      <c r="J113" s="206"/>
    </row>
    <row r="114" spans="1:10" x14ac:dyDescent="0.2">
      <c r="A114" s="206"/>
      <c r="B114" s="206"/>
      <c r="C114" s="206"/>
      <c r="D114" s="51"/>
      <c r="E114" s="206"/>
      <c r="F114" s="35"/>
      <c r="G114" s="206"/>
      <c r="H114" s="51"/>
      <c r="I114" s="206"/>
      <c r="J114" s="206"/>
    </row>
    <row r="115" spans="1:10" x14ac:dyDescent="0.2">
      <c r="A115" s="206"/>
      <c r="B115" s="206"/>
      <c r="C115" s="206"/>
      <c r="D115" s="51"/>
      <c r="E115" s="206"/>
      <c r="F115" s="35"/>
      <c r="G115" s="206"/>
      <c r="H115" s="51"/>
      <c r="I115" s="206"/>
      <c r="J115" s="206"/>
    </row>
    <row r="116" spans="1:10" x14ac:dyDescent="0.2">
      <c r="A116" s="206"/>
      <c r="B116" s="206"/>
      <c r="C116" s="206"/>
      <c r="D116" s="51"/>
      <c r="E116" s="206"/>
      <c r="F116" s="35"/>
      <c r="G116" s="206"/>
      <c r="H116" s="51"/>
      <c r="I116" s="206"/>
      <c r="J116" s="206"/>
    </row>
    <row r="117" spans="1:10" x14ac:dyDescent="0.2">
      <c r="A117" s="206"/>
      <c r="B117" s="206"/>
      <c r="C117" s="206"/>
      <c r="D117" s="51"/>
      <c r="E117" s="206"/>
      <c r="F117" s="35"/>
      <c r="G117" s="206"/>
      <c r="H117" s="51"/>
      <c r="I117" s="206"/>
      <c r="J117" s="206"/>
    </row>
    <row r="118" spans="1:10" x14ac:dyDescent="0.2">
      <c r="A118" s="206"/>
      <c r="B118" s="206"/>
      <c r="C118" s="206"/>
      <c r="D118" s="51"/>
      <c r="E118" s="206"/>
      <c r="F118" s="35"/>
      <c r="G118" s="206"/>
      <c r="H118" s="51"/>
      <c r="I118" s="206"/>
      <c r="J118" s="206"/>
    </row>
    <row r="119" spans="1:10" x14ac:dyDescent="0.2">
      <c r="A119" s="206"/>
      <c r="B119" s="206"/>
      <c r="C119" s="206"/>
      <c r="D119" s="51"/>
      <c r="E119" s="206"/>
      <c r="F119" s="35"/>
      <c r="G119" s="206"/>
      <c r="H119" s="51"/>
      <c r="I119" s="206"/>
      <c r="J119" s="206"/>
    </row>
    <row r="120" spans="1:10" x14ac:dyDescent="0.2">
      <c r="A120" s="206"/>
      <c r="B120" s="206"/>
      <c r="C120" s="206"/>
      <c r="D120" s="51"/>
      <c r="E120" s="206"/>
      <c r="F120" s="35"/>
      <c r="G120" s="206"/>
      <c r="H120" s="51"/>
      <c r="I120" s="206"/>
      <c r="J120" s="206"/>
    </row>
    <row r="121" spans="1:10" x14ac:dyDescent="0.2">
      <c r="A121" s="206"/>
      <c r="B121" s="206"/>
      <c r="C121" s="206"/>
      <c r="D121" s="51"/>
      <c r="E121" s="206"/>
      <c r="F121" s="35"/>
      <c r="G121" s="206"/>
      <c r="H121" s="51"/>
      <c r="I121" s="206"/>
      <c r="J121" s="206"/>
    </row>
    <row r="122" spans="1:10" x14ac:dyDescent="0.2">
      <c r="A122" s="206"/>
      <c r="B122" s="206"/>
      <c r="C122" s="206"/>
      <c r="D122" s="51"/>
      <c r="E122" s="206"/>
      <c r="F122" s="35"/>
      <c r="G122" s="206"/>
      <c r="H122" s="51"/>
      <c r="I122" s="206"/>
      <c r="J122" s="206"/>
    </row>
    <row r="123" spans="1:10" x14ac:dyDescent="0.2">
      <c r="A123" s="206"/>
      <c r="B123" s="206"/>
      <c r="C123" s="206"/>
      <c r="D123" s="51"/>
      <c r="E123" s="206"/>
      <c r="F123" s="35"/>
      <c r="G123" s="206"/>
      <c r="H123" s="51"/>
      <c r="I123" s="206"/>
      <c r="J123" s="206"/>
    </row>
    <row r="124" spans="1:10" x14ac:dyDescent="0.2">
      <c r="A124" s="206"/>
      <c r="B124" s="206"/>
      <c r="C124" s="206"/>
      <c r="D124" s="51"/>
      <c r="E124" s="206"/>
      <c r="F124" s="35"/>
      <c r="G124" s="206"/>
      <c r="H124" s="51"/>
      <c r="I124" s="206"/>
      <c r="J124" s="206"/>
    </row>
    <row r="125" spans="1:10" x14ac:dyDescent="0.2">
      <c r="A125" s="206"/>
      <c r="B125" s="206"/>
      <c r="C125" s="206"/>
      <c r="D125" s="51"/>
      <c r="E125" s="206"/>
      <c r="F125" s="35"/>
      <c r="G125" s="206"/>
      <c r="H125" s="51"/>
      <c r="I125" s="206"/>
      <c r="J125" s="206"/>
    </row>
    <row r="126" spans="1:10" x14ac:dyDescent="0.2">
      <c r="A126" s="206"/>
      <c r="B126" s="206"/>
      <c r="C126" s="206"/>
      <c r="D126" s="51"/>
      <c r="E126" s="206"/>
      <c r="F126" s="35"/>
      <c r="G126" s="206"/>
      <c r="H126" s="51"/>
      <c r="I126" s="206"/>
      <c r="J126" s="206"/>
    </row>
    <row r="127" spans="1:10" x14ac:dyDescent="0.2">
      <c r="A127" s="206"/>
      <c r="B127" s="206"/>
      <c r="C127" s="206"/>
      <c r="D127" s="51"/>
      <c r="E127" s="206"/>
      <c r="F127" s="35"/>
      <c r="G127" s="206"/>
      <c r="H127" s="51"/>
      <c r="I127" s="206"/>
      <c r="J127" s="206"/>
    </row>
    <row r="128" spans="1:10" x14ac:dyDescent="0.2">
      <c r="A128" s="206"/>
      <c r="B128" s="206"/>
      <c r="C128" s="206"/>
      <c r="D128" s="51"/>
      <c r="E128" s="206"/>
      <c r="F128" s="35"/>
      <c r="G128" s="206"/>
      <c r="H128" s="51"/>
      <c r="I128" s="206"/>
      <c r="J128" s="206"/>
    </row>
    <row r="129" spans="1:10" x14ac:dyDescent="0.2">
      <c r="A129" s="206"/>
      <c r="B129" s="206"/>
      <c r="C129" s="206"/>
      <c r="D129" s="51"/>
      <c r="E129" s="206"/>
      <c r="F129" s="35"/>
      <c r="G129" s="206"/>
      <c r="H129" s="51"/>
      <c r="I129" s="206"/>
      <c r="J129" s="206"/>
    </row>
  </sheetData>
  <mergeCells count="7">
    <mergeCell ref="B8:J8"/>
    <mergeCell ref="B79:J79"/>
    <mergeCell ref="B80:J80"/>
    <mergeCell ref="B81:J81"/>
    <mergeCell ref="B55:D55"/>
    <mergeCell ref="B56:D56"/>
    <mergeCell ref="B57:D57"/>
  </mergeCells>
  <pageMargins left="0.7" right="0.7" top="0.75" bottom="0.75" header="0.3" footer="0.3"/>
  <pageSetup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71</vt:i4>
      </vt:variant>
    </vt:vector>
  </HeadingPairs>
  <TitlesOfParts>
    <vt:vector size="83" baseType="lpstr">
      <vt:lpstr>Title Page</vt:lpstr>
      <vt:lpstr>Summary</vt:lpstr>
      <vt:lpstr>Input Prices</vt:lpstr>
      <vt:lpstr>Instructions</vt:lpstr>
      <vt:lpstr>Graphical</vt:lpstr>
      <vt:lpstr>NI-AHE-15 Calendar</vt:lpstr>
      <vt:lpstr>NI-AHE-15</vt:lpstr>
      <vt:lpstr>NI-AH-15 Calendar</vt:lpstr>
      <vt:lpstr>NI-AH-15</vt:lpstr>
      <vt:lpstr>Machinery Costs</vt:lpstr>
      <vt:lpstr>Cal</vt:lpstr>
      <vt:lpstr>Machinery Complement</vt:lpstr>
      <vt:lpstr>AchieveSC</vt:lpstr>
      <vt:lpstr>Aerial</vt:lpstr>
      <vt:lpstr>alfSd</vt:lpstr>
      <vt:lpstr>Ally</vt:lpstr>
      <vt:lpstr>AmmSulfLiq</vt:lpstr>
      <vt:lpstr>AmSulf</vt:lpstr>
      <vt:lpstr>AssureII</vt:lpstr>
      <vt:lpstr>Axial</vt:lpstr>
      <vt:lpstr>Barsd</vt:lpstr>
      <vt:lpstr>Bronate</vt:lpstr>
      <vt:lpstr>BroxM</vt:lpstr>
      <vt:lpstr>Capture</vt:lpstr>
      <vt:lpstr>cashrent</vt:lpstr>
      <vt:lpstr>cialf</vt:lpstr>
      <vt:lpstr>cifb</vt:lpstr>
      <vt:lpstr>cioa</vt:lpstr>
      <vt:lpstr>COC</vt:lpstr>
      <vt:lpstr>custcomb</vt:lpstr>
      <vt:lpstr>Diesel</vt:lpstr>
      <vt:lpstr>Dimethoate</vt:lpstr>
      <vt:lpstr>Discover</vt:lpstr>
      <vt:lpstr>DPest</vt:lpstr>
      <vt:lpstr>Fargo</vt:lpstr>
      <vt:lpstr>FertApplicator</vt:lpstr>
      <vt:lpstr>Finesse</vt:lpstr>
      <vt:lpstr>Gas</vt:lpstr>
      <vt:lpstr>Glyphosphate</vt:lpstr>
      <vt:lpstr>Gypsum</vt:lpstr>
      <vt:lpstr>Imidan</vt:lpstr>
      <vt:lpstr>Labor</vt:lpstr>
      <vt:lpstr>Landtax</vt:lpstr>
      <vt:lpstr>Maverick</vt:lpstr>
      <vt:lpstr>MF</vt:lpstr>
      <vt:lpstr>mustang</vt:lpstr>
      <vt:lpstr>Nitrogen</vt:lpstr>
      <vt:lpstr>oh</vt:lpstr>
      <vt:lpstr>OL</vt:lpstr>
      <vt:lpstr>operloan</vt:lpstr>
      <vt:lpstr>Osprey</vt:lpstr>
      <vt:lpstr>Phosphorous</vt:lpstr>
      <vt:lpstr>poast</vt:lpstr>
      <vt:lpstr>Potassium</vt:lpstr>
      <vt:lpstr>Graphical!Print_Area</vt:lpstr>
      <vt:lpstr>'Input Prices'!Print_Area</vt:lpstr>
      <vt:lpstr>Instructions!Print_Area</vt:lpstr>
      <vt:lpstr>'Machinery Complement'!Print_Area</vt:lpstr>
      <vt:lpstr>'Machinery Costs'!Print_Area</vt:lpstr>
      <vt:lpstr>'NI-AH-15'!Print_Area</vt:lpstr>
      <vt:lpstr>'NI-AH-15 Calendar'!Print_Area</vt:lpstr>
      <vt:lpstr>'NI-AHE-15'!Print_Area</vt:lpstr>
      <vt:lpstr>'NI-AHE-15 Calendar'!Print_Area</vt:lpstr>
      <vt:lpstr>Summary!Print_Area</vt:lpstr>
      <vt:lpstr>'Title Page'!Print_Area</vt:lpstr>
      <vt:lpstr>Graphical!Print_Titles</vt:lpstr>
      <vt:lpstr>'Input Prices'!Print_Titles</vt:lpstr>
      <vt:lpstr>'NI-AHE-15'!Print_Titles</vt:lpstr>
      <vt:lpstr>Prowl</vt:lpstr>
      <vt:lpstr>Pursuit</vt:lpstr>
      <vt:lpstr>Quadris</vt:lpstr>
      <vt:lpstr>Quilt</vt:lpstr>
      <vt:lpstr>sample</vt:lpstr>
      <vt:lpstr>SB</vt:lpstr>
      <vt:lpstr>Shooter</vt:lpstr>
      <vt:lpstr>Shredder</vt:lpstr>
      <vt:lpstr>Sprayer</vt:lpstr>
      <vt:lpstr>Starane</vt:lpstr>
      <vt:lpstr>StaraneSalvo</vt:lpstr>
      <vt:lpstr>Sulfur</vt:lpstr>
      <vt:lpstr>UltraPro</vt:lpstr>
      <vt:lpstr>WWMC</vt:lpstr>
      <vt:lpstr>yrs</vt:lpstr>
    </vt:vector>
  </TitlesOfParts>
  <Company>WSU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Painter</dc:creator>
  <cp:lastModifiedBy>Kate Painter</cp:lastModifiedBy>
  <cp:lastPrinted>2015-10-30T22:49:38Z</cp:lastPrinted>
  <dcterms:created xsi:type="dcterms:W3CDTF">2006-03-07T19:12:45Z</dcterms:created>
  <dcterms:modified xsi:type="dcterms:W3CDTF">2015-10-30T22:49:41Z</dcterms:modified>
</cp:coreProperties>
</file>