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/Documents/Projects 2022/Extension/Budgets/Sugarbeet budgets/2022 publications/"/>
    </mc:Choice>
  </mc:AlternateContent>
  <xr:revisionPtr revIDLastSave="0" documentId="13_ncr:1_{B111A7A4-F28C-184C-8168-8D7AD84C06AC}" xr6:coauthVersionLast="47" xr6:coauthVersionMax="47" xr10:uidLastSave="{00000000-0000-0000-0000-000000000000}"/>
  <bookViews>
    <workbookView xWindow="23400" yWindow="11260" windowWidth="23260" windowHeight="12460" tabRatio="803" xr2:uid="{D6584176-C577-4DB8-9530-E6238B8C209A}"/>
  </bookViews>
  <sheets>
    <sheet name="Cover Sheet &amp; Instructions" sheetId="1" r:id="rId1"/>
    <sheet name="Settings (COMPLETE ME)" sheetId="10" r:id="rId2"/>
    <sheet name="Worksheet" sheetId="21" r:id="rId3"/>
    <sheet name="Enterprise Budget" sheetId="3" r:id="rId4"/>
    <sheet name="Worksheet Inputs (HIDE)" sheetId="22" state="hidden" r:id="rId5"/>
    <sheet name="Misc Menu Items (HIDE)" sheetId="9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3" l="1"/>
  <c r="F15" i="3"/>
  <c r="H8" i="3"/>
  <c r="F8" i="3"/>
  <c r="B4" i="3"/>
  <c r="B24" i="3"/>
  <c r="E4" i="3"/>
  <c r="B7" i="3"/>
  <c r="N8" i="21"/>
  <c r="D101" i="21"/>
  <c r="E138" i="21"/>
  <c r="F65" i="21"/>
  <c r="D65" i="21"/>
  <c r="E65" i="21"/>
  <c r="E63" i="21"/>
  <c r="F113" i="21" l="1"/>
  <c r="H113" i="21" s="1"/>
  <c r="L118" i="21"/>
  <c r="J113" i="21"/>
  <c r="G9" i="3"/>
  <c r="H9" i="3" s="1"/>
  <c r="L113" i="21" l="1"/>
  <c r="F9" i="3"/>
  <c r="D84" i="21"/>
  <c r="E84" i="21"/>
  <c r="I56" i="22"/>
  <c r="H56" i="22"/>
  <c r="G56" i="22"/>
  <c r="F56" i="22"/>
  <c r="E83" i="21"/>
  <c r="D83" i="21"/>
  <c r="N91" i="21" l="1"/>
  <c r="N92" i="21"/>
  <c r="N93" i="21"/>
  <c r="N94" i="21"/>
  <c r="N90" i="21"/>
  <c r="N73" i="21"/>
  <c r="N74" i="21"/>
  <c r="N75" i="21"/>
  <c r="N76" i="21"/>
  <c r="N72" i="21"/>
  <c r="N51" i="21"/>
  <c r="N52" i="21"/>
  <c r="N53" i="21"/>
  <c r="N54" i="21"/>
  <c r="N50" i="21"/>
  <c r="N34" i="21"/>
  <c r="N35" i="21"/>
  <c r="N36" i="21"/>
  <c r="N37" i="21"/>
  <c r="N33" i="21"/>
  <c r="E41" i="21"/>
  <c r="E42" i="21"/>
  <c r="D154" i="21" l="1"/>
  <c r="F154" i="21" l="1"/>
  <c r="G16" i="3"/>
  <c r="E125" i="21"/>
  <c r="E126" i="21"/>
  <c r="F130" i="21"/>
  <c r="E127" i="21"/>
  <c r="E128" i="21"/>
  <c r="E129" i="21"/>
  <c r="J130" i="21"/>
  <c r="J154" i="21"/>
  <c r="J146" i="21"/>
  <c r="L146" i="21" s="1"/>
  <c r="N146" i="21" s="1"/>
  <c r="C30" i="3" s="1"/>
  <c r="J140" i="21"/>
  <c r="L140" i="21" s="1"/>
  <c r="N140" i="21" s="1"/>
  <c r="C32" i="3" s="1"/>
  <c r="E147" i="21"/>
  <c r="E141" i="21"/>
  <c r="E142" i="21"/>
  <c r="E143" i="21"/>
  <c r="E144" i="21"/>
  <c r="E145" i="21"/>
  <c r="E146" i="21"/>
  <c r="E139" i="21"/>
  <c r="E140" i="21"/>
  <c r="J118" i="21"/>
  <c r="H103" i="21"/>
  <c r="H100" i="21"/>
  <c r="H101" i="21"/>
  <c r="H99" i="21"/>
  <c r="J103" i="21"/>
  <c r="J100" i="21"/>
  <c r="P100" i="21" s="1"/>
  <c r="J101" i="21"/>
  <c r="P101" i="21" s="1"/>
  <c r="J99" i="21"/>
  <c r="P99" i="21" s="1"/>
  <c r="H109" i="21"/>
  <c r="J109" i="21"/>
  <c r="E56" i="22"/>
  <c r="D56" i="22"/>
  <c r="C56" i="22"/>
  <c r="G107" i="21"/>
  <c r="N11" i="21"/>
  <c r="C8" i="3" s="1"/>
  <c r="C62" i="21"/>
  <c r="D62" i="21"/>
  <c r="E62" i="21"/>
  <c r="C63" i="21"/>
  <c r="D63" i="21"/>
  <c r="F63" i="21" s="1"/>
  <c r="C64" i="21"/>
  <c r="D64" i="21"/>
  <c r="E64" i="21"/>
  <c r="C65" i="21"/>
  <c r="E61" i="21"/>
  <c r="D61" i="21"/>
  <c r="F61" i="21" s="1"/>
  <c r="C61" i="21"/>
  <c r="C44" i="22"/>
  <c r="C68" i="21" s="1"/>
  <c r="D44" i="22"/>
  <c r="D67" i="21" s="1"/>
  <c r="F67" i="21" s="1"/>
  <c r="E44" i="22"/>
  <c r="E68" i="21" s="1"/>
  <c r="I45" i="22"/>
  <c r="G45" i="22"/>
  <c r="F55" i="21"/>
  <c r="N55" i="21" s="1"/>
  <c r="I14" i="22"/>
  <c r="H14" i="22"/>
  <c r="G14" i="22"/>
  <c r="F14" i="22"/>
  <c r="E14" i="22"/>
  <c r="E28" i="21" s="1"/>
  <c r="D14" i="22"/>
  <c r="D30" i="21" s="1"/>
  <c r="C14" i="22"/>
  <c r="H28" i="22"/>
  <c r="G28" i="22"/>
  <c r="F28" i="22"/>
  <c r="E28" i="22"/>
  <c r="E43" i="21" s="1"/>
  <c r="C28" i="22"/>
  <c r="D28" i="22"/>
  <c r="D43" i="21" s="1"/>
  <c r="I28" i="22"/>
  <c r="F77" i="21"/>
  <c r="N77" i="21" s="1"/>
  <c r="F162" i="21"/>
  <c r="E23" i="21"/>
  <c r="E24" i="21"/>
  <c r="E25" i="21"/>
  <c r="E26" i="21"/>
  <c r="E27" i="21"/>
  <c r="D23" i="21"/>
  <c r="D24" i="21"/>
  <c r="D25" i="21"/>
  <c r="D26" i="21"/>
  <c r="L3" i="22"/>
  <c r="L4" i="22" s="1"/>
  <c r="C29" i="22" s="1"/>
  <c r="E22" i="21"/>
  <c r="D22" i="21"/>
  <c r="E18" i="21"/>
  <c r="D18" i="21"/>
  <c r="F62" i="21" l="1"/>
  <c r="E130" i="21"/>
  <c r="L109" i="21"/>
  <c r="N109" i="21" s="1"/>
  <c r="C20" i="3" s="1"/>
  <c r="F64" i="21"/>
  <c r="C59" i="22"/>
  <c r="C60" i="22"/>
  <c r="C85" i="21" s="1"/>
  <c r="C87" i="21"/>
  <c r="F87" i="21" s="1"/>
  <c r="N87" i="21" s="1"/>
  <c r="C86" i="21"/>
  <c r="F86" i="21" s="1"/>
  <c r="N86" i="21" s="1"/>
  <c r="C88" i="21"/>
  <c r="C70" i="21"/>
  <c r="D87" i="21"/>
  <c r="D88" i="21"/>
  <c r="D85" i="21"/>
  <c r="D86" i="21"/>
  <c r="E88" i="21"/>
  <c r="E87" i="21"/>
  <c r="E85" i="21"/>
  <c r="E86" i="21"/>
  <c r="C67" i="21"/>
  <c r="C33" i="22"/>
  <c r="C58" i="22"/>
  <c r="C84" i="21" s="1"/>
  <c r="C57" i="22"/>
  <c r="C83" i="21" s="1"/>
  <c r="F83" i="21" s="1"/>
  <c r="D66" i="21"/>
  <c r="F66" i="21" s="1"/>
  <c r="E66" i="21"/>
  <c r="D69" i="21"/>
  <c r="F69" i="21" s="1"/>
  <c r="C69" i="21"/>
  <c r="C66" i="21"/>
  <c r="C46" i="21"/>
  <c r="D68" i="21"/>
  <c r="F68" i="21" s="1"/>
  <c r="E69" i="21"/>
  <c r="E31" i="21"/>
  <c r="C15" i="22"/>
  <c r="C22" i="21" s="1"/>
  <c r="E70" i="21"/>
  <c r="E67" i="21"/>
  <c r="D70" i="21"/>
  <c r="F70" i="21" s="1"/>
  <c r="N136" i="21"/>
  <c r="C33" i="3" s="1"/>
  <c r="E148" i="21"/>
  <c r="H130" i="21"/>
  <c r="L130" i="21" s="1"/>
  <c r="N130" i="21" s="1"/>
  <c r="C22" i="3" s="1"/>
  <c r="L101" i="21"/>
  <c r="L99" i="21"/>
  <c r="L100" i="21"/>
  <c r="L103" i="21"/>
  <c r="E30" i="21"/>
  <c r="D29" i="21"/>
  <c r="E29" i="21"/>
  <c r="D28" i="21"/>
  <c r="D41" i="21"/>
  <c r="E45" i="21"/>
  <c r="E48" i="21"/>
  <c r="D48" i="21"/>
  <c r="D47" i="21"/>
  <c r="C32" i="22"/>
  <c r="C43" i="21" s="1"/>
  <c r="F43" i="21" s="1"/>
  <c r="N43" i="21" s="1"/>
  <c r="C5" i="22"/>
  <c r="C18" i="21" s="1"/>
  <c r="F18" i="21" s="1"/>
  <c r="N18" i="21" s="1"/>
  <c r="C14" i="3" s="1"/>
  <c r="C30" i="21"/>
  <c r="D27" i="21"/>
  <c r="C30" i="22"/>
  <c r="C42" i="21" s="1"/>
  <c r="F42" i="21" s="1"/>
  <c r="N42" i="21" s="1"/>
  <c r="C48" i="21"/>
  <c r="F48" i="21" s="1"/>
  <c r="N48" i="21" s="1"/>
  <c r="D45" i="21"/>
  <c r="D42" i="21"/>
  <c r="C16" i="22"/>
  <c r="C23" i="21" s="1"/>
  <c r="C31" i="21"/>
  <c r="C21" i="22"/>
  <c r="C29" i="21"/>
  <c r="C37" i="22"/>
  <c r="E47" i="21"/>
  <c r="C45" i="21"/>
  <c r="F45" i="21" s="1"/>
  <c r="N45" i="21" s="1"/>
  <c r="C28" i="21"/>
  <c r="C19" i="22"/>
  <c r="C35" i="22"/>
  <c r="C47" i="21"/>
  <c r="F47" i="21" s="1"/>
  <c r="N47" i="21" s="1"/>
  <c r="D44" i="21"/>
  <c r="C41" i="21"/>
  <c r="C31" i="22"/>
  <c r="C20" i="22"/>
  <c r="C36" i="22"/>
  <c r="E44" i="21"/>
  <c r="C18" i="22"/>
  <c r="C25" i="21" s="1"/>
  <c r="D31" i="21"/>
  <c r="C34" i="22"/>
  <c r="E46" i="21"/>
  <c r="C17" i="22"/>
  <c r="C24" i="21" s="1"/>
  <c r="D46" i="21"/>
  <c r="C44" i="21"/>
  <c r="N9" i="21"/>
  <c r="C21" i="3" s="1"/>
  <c r="H7" i="21"/>
  <c r="J7" i="21" s="1"/>
  <c r="F46" i="21" l="1"/>
  <c r="N46" i="21" s="1"/>
  <c r="F88" i="21"/>
  <c r="N88" i="21" s="1"/>
  <c r="F44" i="21"/>
  <c r="N44" i="21" s="1"/>
  <c r="C26" i="21"/>
  <c r="F26" i="21" s="1"/>
  <c r="N26" i="21" s="1"/>
  <c r="F85" i="21"/>
  <c r="N85" i="21" s="1"/>
  <c r="C27" i="21"/>
  <c r="F84" i="21"/>
  <c r="N84" i="21" s="1"/>
  <c r="N83" i="21"/>
  <c r="N7" i="21"/>
  <c r="C7" i="3" s="1"/>
  <c r="D158" i="21"/>
  <c r="F158" i="21" s="1"/>
  <c r="H154" i="21" s="1"/>
  <c r="F41" i="21"/>
  <c r="N41" i="21" s="1"/>
  <c r="N99" i="21"/>
  <c r="C19" i="3" s="1"/>
  <c r="F30" i="21"/>
  <c r="N30" i="21" s="1"/>
  <c r="N69" i="21"/>
  <c r="F29" i="21"/>
  <c r="N29" i="21" s="1"/>
  <c r="N68" i="21"/>
  <c r="F28" i="21"/>
  <c r="N28" i="21" s="1"/>
  <c r="N67" i="21"/>
  <c r="F31" i="21"/>
  <c r="N31" i="21" s="1"/>
  <c r="N70" i="21"/>
  <c r="F23" i="21"/>
  <c r="N23" i="21" s="1"/>
  <c r="N62" i="21"/>
  <c r="F25" i="21"/>
  <c r="N25" i="21" s="1"/>
  <c r="N64" i="21"/>
  <c r="F24" i="21"/>
  <c r="N24" i="21" s="1"/>
  <c r="N63" i="21"/>
  <c r="N65" i="21"/>
  <c r="N61" i="21"/>
  <c r="F22" i="21"/>
  <c r="N22" i="21" s="1"/>
  <c r="F16" i="3"/>
  <c r="E3" i="3"/>
  <c r="B3" i="3"/>
  <c r="C16" i="3" l="1"/>
  <c r="C18" i="3"/>
  <c r="F27" i="21"/>
  <c r="N27" i="21" s="1"/>
  <c r="C15" i="3" s="1"/>
  <c r="N66" i="21"/>
  <c r="C17" i="3" s="1"/>
  <c r="L154" i="21"/>
  <c r="N154" i="21" s="1"/>
  <c r="C31" i="3" s="1"/>
  <c r="H16" i="3"/>
  <c r="C10" i="3"/>
  <c r="C35" i="3" l="1"/>
  <c r="G19" i="3" l="1"/>
  <c r="H19" i="3"/>
  <c r="C24" i="3"/>
  <c r="C26" i="3" s="1"/>
  <c r="H18" i="3" s="1"/>
  <c r="F12" i="3"/>
  <c r="H12" i="3"/>
  <c r="F19" i="3"/>
  <c r="G12" i="3"/>
  <c r="H11" i="3" l="1"/>
  <c r="C37" i="3"/>
  <c r="H20" i="3" s="1"/>
  <c r="F18" i="3"/>
  <c r="F11" i="3"/>
  <c r="G18" i="3"/>
  <c r="G11" i="3"/>
  <c r="C40" i="3" l="1"/>
  <c r="C39" i="3"/>
  <c r="G20" i="3"/>
  <c r="H13" i="3"/>
  <c r="F20" i="3"/>
  <c r="G13" i="3"/>
  <c r="F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Hand</author>
  </authors>
  <commentList>
    <comment ref="C27" authorId="0" shapeId="0" xr:uid="{AC4EE289-AB79-44BC-B5F6-D76A7DEED4CC}">
      <text>
        <r>
          <rPr>
            <b/>
            <sz val="9"/>
            <color indexed="81"/>
            <rFont val="Tahoma"/>
            <family val="2"/>
          </rPr>
          <t>Hello! I'm a note!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Hand</author>
  </authors>
  <commentList>
    <comment ref="E4" authorId="0" shapeId="0" xr:uid="{E9F14F99-088B-4040-94D2-0F64DEEFCFE3}">
      <text>
        <r>
          <rPr>
            <b/>
            <sz val="9"/>
            <color indexed="81"/>
            <rFont val="Tahoma"/>
            <family val="2"/>
          </rPr>
          <t>Golden/Tan Boxes - Please fill these in (do not leave blank)
Blue Boxes - These are dropdowns, select a value from the list</t>
        </r>
      </text>
    </comment>
    <comment ref="E8" authorId="0" shapeId="0" xr:uid="{6FC73E52-7EFF-4948-BBD3-10C580451DFF}">
      <text>
        <r>
          <rPr>
            <b/>
            <sz val="9"/>
            <color indexed="81"/>
            <rFont val="Tahoma"/>
            <charset val="1"/>
          </rPr>
          <t>No Sugarbeet budget provided for Northern Idaho</t>
        </r>
      </text>
    </comment>
    <comment ref="E10" authorId="0" shapeId="0" xr:uid="{18F26950-0C79-4D24-BEB0-88D6C3930D44}">
      <text>
        <r>
          <rPr>
            <b/>
            <sz val="9"/>
            <color indexed="81"/>
            <rFont val="Tahoma"/>
            <family val="2"/>
          </rPr>
          <t>Interest expense is calculated for a six month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D9E777AC-CD59-49F9-91BD-7EDE2C5EDE72}">
      <text>
        <r>
          <rPr>
            <b/>
            <sz val="9"/>
            <color indexed="81"/>
            <rFont val="Tahoma"/>
            <family val="2"/>
          </rPr>
          <t>Irrigation costs are for producers in southeastern Idaho
You will still need to add/remove irrigation labor manually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Hand</author>
  </authors>
  <commentList>
    <comment ref="D113" authorId="0" shapeId="0" xr:uid="{10DDE0D8-5C22-468C-9873-A3C51E1F76A3}">
      <text>
        <r>
          <rPr>
            <b/>
            <sz val="9"/>
            <color indexed="81"/>
            <rFont val="Tahoma"/>
            <charset val="1"/>
          </rPr>
          <t xml:space="preserve">Rates varied widely: 2021 sample numbers were as follows:
Twin Falls - $3.80/ton
Nampa - $9.47/Ton (This includes haul from Washington and Oregon)
Mini Cassia - $5.90/Ton
</t>
        </r>
      </text>
    </comment>
  </commentList>
</comments>
</file>

<file path=xl/sharedStrings.xml><?xml version="1.0" encoding="utf-8"?>
<sst xmlns="http://schemas.openxmlformats.org/spreadsheetml/2006/main" count="571" uniqueCount="212">
  <si>
    <t>Idaho Sugarbeet Budget - 2022 (all regions)</t>
  </si>
  <si>
    <t>Use Me!</t>
  </si>
  <si>
    <t>cells have a dropdown</t>
  </si>
  <si>
    <t>GOLDEN/TAN</t>
  </si>
  <si>
    <t>cells indicate to enter a value/you can modify this value</t>
  </si>
  <si>
    <t>are cells that have a note, hover over it to view the comment</t>
  </si>
  <si>
    <t>Questions?</t>
  </si>
  <si>
    <t>Tyler Hand (Graduate Student)</t>
  </si>
  <si>
    <t>College of Agriculture and Life Sciences</t>
  </si>
  <si>
    <t>Department of Agricultural Economics and Rural Sociology</t>
  </si>
  <si>
    <t>IJ Iddings Agricultural Science Building, 19D</t>
  </si>
  <si>
    <t>hand7029@vandals.uidaho.edu</t>
  </si>
  <si>
    <t>(if you want to edit this template, the password for unprotecting sheets is blank)</t>
  </si>
  <si>
    <t>Farm Details</t>
  </si>
  <si>
    <t>Please use the dropdowns/follow the instructions to autofill the budget</t>
  </si>
  <si>
    <t>Variable</t>
  </si>
  <si>
    <t>Details</t>
  </si>
  <si>
    <t>Inputs/Settings</t>
  </si>
  <si>
    <t>(hover)</t>
  </si>
  <si>
    <t>Farm Name</t>
  </si>
  <si>
    <t>This will be added to the top of the enterprise budget</t>
  </si>
  <si>
    <t>My Farm, inc.</t>
  </si>
  <si>
    <t>Year</t>
  </si>
  <si>
    <t>(added for if you are making a budget for a different year)</t>
  </si>
  <si>
    <t>Acres</t>
  </si>
  <si>
    <t>Total production acreage (used to find some per acre values)</t>
  </si>
  <si>
    <t>Region</t>
  </si>
  <si>
    <t>Please select your region, data tables will be selected based off this (you can manually adject these)</t>
  </si>
  <si>
    <t>Southcentral Idaho</t>
  </si>
  <si>
    <t>&lt;--- Dropdown</t>
  </si>
  <si>
    <t>Operating Loan</t>
  </si>
  <si>
    <t>How much of the total costs should be assumed to be paid with an operating loan?</t>
  </si>
  <si>
    <t>Interest Rate</t>
  </si>
  <si>
    <t>What is the interest rate on your operating loan?</t>
  </si>
  <si>
    <t>Irrigated</t>
  </si>
  <si>
    <t>Should irrigation costs be included/do you irrigate?</t>
  </si>
  <si>
    <t>Yes</t>
  </si>
  <si>
    <t>Sugarbeet Worksheet</t>
  </si>
  <si>
    <t>Southern Idaho</t>
  </si>
  <si>
    <t>Used in Budget - Don't Edit</t>
  </si>
  <si>
    <t>Price/lb</t>
  </si>
  <si>
    <t>x</t>
  </si>
  <si>
    <t>Estimated Yield/Acre</t>
  </si>
  <si>
    <t>=</t>
  </si>
  <si>
    <t>Revenue/Acre</t>
  </si>
  <si>
    <t>YOUR Revenue/Cost per Acre</t>
  </si>
  <si>
    <t>Sugarbeet Revenue</t>
  </si>
  <si>
    <t>minus hedging cost/ton</t>
  </si>
  <si>
    <t>minus crop insurance/acre</t>
  </si>
  <si>
    <t>plus government payments</t>
  </si>
  <si>
    <t>CHANGE ONE OR BOTH OF THESE</t>
  </si>
  <si>
    <t>OR</t>
  </si>
  <si>
    <t>JUST THIS ONE</t>
  </si>
  <si>
    <t>Item</t>
  </si>
  <si>
    <t>Cost</t>
  </si>
  <si>
    <t>Unit</t>
  </si>
  <si>
    <t>Application Rate/Acre</t>
  </si>
  <si>
    <t>Cost/Acre</t>
  </si>
  <si>
    <t>Your Cost</t>
  </si>
  <si>
    <t>Seed</t>
  </si>
  <si>
    <t>Sugarbeet Seed - Generic - All Regions</t>
  </si>
  <si>
    <t>X</t>
  </si>
  <si>
    <t>Fertilizer</t>
  </si>
  <si>
    <t>Bulk Dry Urea - Generic Price</t>
  </si>
  <si>
    <t>Bulk Phosphorus (11-52-0)</t>
  </si>
  <si>
    <t>Bulk Dry Potash (0-0-60)</t>
  </si>
  <si>
    <t>Bulk Dry Ammonium Sulfate (21-0-24)</t>
  </si>
  <si>
    <t>Triplex Micro</t>
  </si>
  <si>
    <t>Calcium Silicon</t>
  </si>
  <si>
    <t>&lt;---select from dropdown---&gt;</t>
  </si>
  <si>
    <t>(added to the fertilizer line item on the budget tab)</t>
  </si>
  <si>
    <t>WRITE-IN</t>
  </si>
  <si>
    <t>Pesticides</t>
  </si>
  <si>
    <t>Roundup</t>
  </si>
  <si>
    <t>Kicker Plus</t>
  </si>
  <si>
    <t>Inspire XT</t>
  </si>
  <si>
    <t>(added to pesticides line item on the budget tab)</t>
  </si>
  <si>
    <t>Labor</t>
  </si>
  <si>
    <t xml:space="preserve">Base Wage </t>
  </si>
  <si>
    <t>Effective Wage</t>
  </si>
  <si>
    <t>Hours Applied/Acre</t>
  </si>
  <si>
    <t>General Farm Labor (Seasonal)</t>
  </si>
  <si>
    <t>Truck Drivers (harvest)</t>
  </si>
  <si>
    <t>Irrigation Labor (HL &amp; WL)</t>
  </si>
  <si>
    <t xml:space="preserve">Equipment Operator </t>
  </si>
  <si>
    <t>(added to the labor line item on the budget tab)</t>
  </si>
  <si>
    <t>Irrigation</t>
  </si>
  <si>
    <t>Units</t>
  </si>
  <si>
    <t>Cost Allocation/Acre</t>
  </si>
  <si>
    <t>Electricity  - Pumping</t>
  </si>
  <si>
    <t>Surface Water Assessment</t>
  </si>
  <si>
    <t>General Irrigation Repairs</t>
  </si>
  <si>
    <t>(added to the irrigation line item on the budget tab)</t>
  </si>
  <si>
    <t>Fuel</t>
  </si>
  <si>
    <t>Average Price</t>
  </si>
  <si>
    <t>Total Annual Usage (gal)</t>
  </si>
  <si>
    <t>Total Cost</t>
  </si>
  <si>
    <t>/</t>
  </si>
  <si>
    <t>Total Acres</t>
  </si>
  <si>
    <t>Unleaded Gas</t>
  </si>
  <si>
    <t>Diesel</t>
  </si>
  <si>
    <t>Off-Road Diesel</t>
  </si>
  <si>
    <t>Propane</t>
  </si>
  <si>
    <t>Trucking/Hauling</t>
  </si>
  <si>
    <t>Rate per Mile</t>
  </si>
  <si>
    <t>Distance</t>
  </si>
  <si>
    <t>Rate per Ton</t>
  </si>
  <si>
    <t>Tons (total)</t>
  </si>
  <si>
    <t>(hover for note)</t>
  </si>
  <si>
    <t>Base Charge</t>
  </si>
  <si>
    <t>Other Variable Costs</t>
  </si>
  <si>
    <t>Misc VARIABLE Costs - Assorted</t>
  </si>
  <si>
    <t>Fill in Either Box</t>
  </si>
  <si>
    <t>Monthly</t>
  </si>
  <si>
    <t>Annual</t>
  </si>
  <si>
    <t>Total</t>
  </si>
  <si>
    <t>Assorted Variable Costs</t>
  </si>
  <si>
    <t>Soil Testing and Consulting ($16/Acre x 550)</t>
  </si>
  <si>
    <t>Insurance, Depreciation and Other Fixed Costs (excluding crop insurance)</t>
  </si>
  <si>
    <t>Misc FIXED Costs - Assorted</t>
  </si>
  <si>
    <t>Insurance</t>
  </si>
  <si>
    <t>General Overhead</t>
  </si>
  <si>
    <t>Total Annual Cost</t>
  </si>
  <si>
    <t>General Repairs</t>
  </si>
  <si>
    <t>Total Depreciation</t>
  </si>
  <si>
    <t>Land Rent</t>
  </si>
  <si>
    <t>Rent Rate per Acre</t>
  </si>
  <si>
    <t>Total Annual Land Rent</t>
  </si>
  <si>
    <t>Total Cost/Acre</t>
  </si>
  <si>
    <t>---&gt;</t>
  </si>
  <si>
    <t>^</t>
  </si>
  <si>
    <t>Royalty Percentage</t>
  </si>
  <si>
    <t>Revenue</t>
  </si>
  <si>
    <t>Outflow from Royalty</t>
  </si>
  <si>
    <t>Other Payments/Fees</t>
  </si>
  <si>
    <t>Enterprise Budget</t>
  </si>
  <si>
    <t>Breakeven Analysis</t>
  </si>
  <si>
    <t>(per acre)</t>
  </si>
  <si>
    <t>Revenues (per acre)</t>
  </si>
  <si>
    <t xml:space="preserve">Sensitivity Factor +/- </t>
  </si>
  <si>
    <t>&lt;---edit this %</t>
  </si>
  <si>
    <t>Government Payments</t>
  </si>
  <si>
    <t>Price</t>
  </si>
  <si>
    <t>Base</t>
  </si>
  <si>
    <t>Total Estimated Revenues</t>
  </si>
  <si>
    <t>Variable Costs (per acre)</t>
  </si>
  <si>
    <t>Yield</t>
  </si>
  <si>
    <t>Hauling/Trucking</t>
  </si>
  <si>
    <t>Crop Insurance</t>
  </si>
  <si>
    <t>Total Estimated Variable Costs</t>
  </si>
  <si>
    <t>Fixed &amp; Other Costs (per acre)</t>
  </si>
  <si>
    <t>Machinery and Equipment Depreciation</t>
  </si>
  <si>
    <t>Other Fixed Costs</t>
  </si>
  <si>
    <t>Total Estimated Fixed Costs</t>
  </si>
  <si>
    <t>Total Estimated Expenses</t>
  </si>
  <si>
    <t>Net Profit Margin</t>
  </si>
  <si>
    <t>Net Profit (Loss) per Acre</t>
  </si>
  <si>
    <r>
      <t>*</t>
    </r>
    <r>
      <rPr>
        <b/>
        <i/>
        <u/>
        <sz val="11"/>
        <color theme="1"/>
        <rFont val="Calibri"/>
        <family val="2"/>
        <scheme val="minor"/>
      </rPr>
      <t>Do not</t>
    </r>
    <r>
      <rPr>
        <i/>
        <sz val="11"/>
        <color theme="1"/>
        <rFont val="Calibri"/>
        <family val="2"/>
        <scheme val="minor"/>
      </rPr>
      <t xml:space="preserve"> edit this sheet, please see the other tabs for budget components (text will also autofill)</t>
    </r>
  </si>
  <si>
    <t>Seed Default Values</t>
  </si>
  <si>
    <t>DON’T EDIT -- IGNORE</t>
  </si>
  <si>
    <t>These populate the above dropdown. Changes to the defaults here will be reflected in the worksheet.</t>
  </si>
  <si>
    <t>Selected:</t>
  </si>
  <si>
    <t>Seed Type</t>
  </si>
  <si>
    <t>Use/Acre</t>
  </si>
  <si>
    <t>NI</t>
  </si>
  <si>
    <t>SWI</t>
  </si>
  <si>
    <t>SCI</t>
  </si>
  <si>
    <t>SEI</t>
  </si>
  <si>
    <t>Index:</t>
  </si>
  <si>
    <t>100,000 Units</t>
  </si>
  <si>
    <t>N/A</t>
  </si>
  <si>
    <t>Northern Idaho</t>
  </si>
  <si>
    <t>Southwestern Idaho</t>
  </si>
  <si>
    <t>Southeastern Idaho</t>
  </si>
  <si>
    <t>Fertilizer Default Values</t>
  </si>
  <si>
    <t>Product/Input</t>
  </si>
  <si>
    <t>ton</t>
  </si>
  <si>
    <t>Dicap (0-31-50)</t>
  </si>
  <si>
    <t>per acre</t>
  </si>
  <si>
    <t>Pesticide Default Values</t>
  </si>
  <si>
    <t>Product</t>
  </si>
  <si>
    <t>gal</t>
  </si>
  <si>
    <t>Mustang Maxx</t>
  </si>
  <si>
    <t>Priaxor</t>
  </si>
  <si>
    <t>Propulse</t>
  </si>
  <si>
    <t>Movento</t>
  </si>
  <si>
    <t>Outlook</t>
  </si>
  <si>
    <t>Dual Magnum</t>
  </si>
  <si>
    <t>Labor Default Values</t>
  </si>
  <si>
    <t>Irrigation Labor (CP &amp; L)</t>
  </si>
  <si>
    <t>Other (Misc @ $15/hour)</t>
  </si>
  <si>
    <t>Irrigation Default Values</t>
  </si>
  <si>
    <t>Irrigation Input</t>
  </si>
  <si>
    <t>kWh</t>
  </si>
  <si>
    <t>Acre</t>
  </si>
  <si>
    <t>Use of Water Right - $0</t>
  </si>
  <si>
    <t>Cover Page Sample</t>
  </si>
  <si>
    <t>Yes/No Dropdown</t>
  </si>
  <si>
    <t>Resources Measurement Dropdown</t>
  </si>
  <si>
    <t>Percent Dropdown</t>
  </si>
  <si>
    <t>Region Dropdown</t>
  </si>
  <si>
    <t>Economic Resources Measurement</t>
  </si>
  <si>
    <t>I'm an Option</t>
  </si>
  <si>
    <t>No</t>
  </si>
  <si>
    <t>Financial Resources Measurement</t>
  </si>
  <si>
    <t>I'm Another Option</t>
  </si>
  <si>
    <t>Variable Cost Breakeven Yield</t>
  </si>
  <si>
    <t>Fixed Cost Breakeven Yield</t>
  </si>
  <si>
    <t>Total Cost Breakeven Yield</t>
  </si>
  <si>
    <t>Variable Cost Breakeven Price</t>
  </si>
  <si>
    <t>Fixed Cost Breakeven Price</t>
  </si>
  <si>
    <t>Total Cost Breakeven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</si>
</sst>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9" fontId="0" fillId="0" borderId="0" xfId="0" applyNumberForma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4" fontId="0" fillId="0" borderId="9" xfId="1" applyFont="1" applyBorder="1"/>
    <xf numFmtId="44" fontId="7" fillId="0" borderId="9" xfId="1" applyFont="1" applyBorder="1"/>
    <xf numFmtId="44" fontId="0" fillId="0" borderId="12" xfId="1" applyFont="1" applyBorder="1"/>
    <xf numFmtId="44" fontId="8" fillId="0" borderId="9" xfId="1" applyFont="1" applyBorder="1"/>
    <xf numFmtId="44" fontId="0" fillId="0" borderId="9" xfId="1" applyFont="1" applyBorder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2" applyFont="1" applyAlignment="1">
      <alignment horizontal="center"/>
    </xf>
    <xf numFmtId="0" fontId="0" fillId="0" borderId="8" xfId="0" applyBorder="1" applyAlignment="1">
      <alignment horizontal="left" indent="1"/>
    </xf>
    <xf numFmtId="44" fontId="0" fillId="0" borderId="9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indent="1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2" borderId="17" xfId="0" applyFill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44" fontId="0" fillId="0" borderId="28" xfId="0" applyNumberFormat="1" applyBorder="1"/>
    <xf numFmtId="0" fontId="7" fillId="0" borderId="8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6" fillId="0" borderId="10" xfId="0" applyFont="1" applyBorder="1" applyAlignment="1">
      <alignment horizontal="left" indent="1"/>
    </xf>
    <xf numFmtId="0" fontId="0" fillId="2" borderId="0" xfId="0" applyFill="1"/>
    <xf numFmtId="0" fontId="2" fillId="0" borderId="0" xfId="0" applyFont="1"/>
    <xf numFmtId="0" fontId="0" fillId="0" borderId="22" xfId="0" applyBorder="1"/>
    <xf numFmtId="9" fontId="0" fillId="0" borderId="9" xfId="2" applyFont="1" applyBorder="1" applyAlignment="1">
      <alignment horizontal="right"/>
    </xf>
    <xf numFmtId="164" fontId="0" fillId="0" borderId="0" xfId="2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" xfId="0" applyBorder="1"/>
    <xf numFmtId="164" fontId="12" fillId="5" borderId="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quotePrefix="1" applyNumberFormat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0" xfId="0" quotePrefix="1" applyNumberFormat="1" applyAlignment="1">
      <alignment horizontal="center"/>
    </xf>
    <xf numFmtId="0" fontId="16" fillId="0" borderId="17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9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/>
    <xf numFmtId="9" fontId="0" fillId="6" borderId="17" xfId="2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9" fontId="0" fillId="4" borderId="3" xfId="2" applyFont="1" applyFill="1" applyBorder="1" applyAlignment="1" applyProtection="1">
      <alignment horizontal="center"/>
      <protection locked="0"/>
    </xf>
    <xf numFmtId="10" fontId="0" fillId="3" borderId="3" xfId="2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164" fontId="0" fillId="6" borderId="32" xfId="0" applyNumberFormat="1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164" fontId="0" fillId="6" borderId="33" xfId="0" applyNumberFormat="1" applyFill="1" applyBorder="1" applyAlignment="1" applyProtection="1">
      <alignment horizontal="center"/>
      <protection locked="0"/>
    </xf>
    <xf numFmtId="164" fontId="0" fillId="6" borderId="34" xfId="0" applyNumberFormat="1" applyFill="1" applyBorder="1" applyAlignment="1" applyProtection="1">
      <alignment horizontal="center"/>
      <protection locked="0"/>
    </xf>
    <xf numFmtId="164" fontId="0" fillId="6" borderId="35" xfId="0" applyNumberFormat="1" applyFill="1" applyBorder="1" applyAlignment="1" applyProtection="1">
      <alignment horizontal="center"/>
      <protection locked="0"/>
    </xf>
    <xf numFmtId="0" fontId="0" fillId="6" borderId="33" xfId="0" applyFill="1" applyBorder="1" applyAlignment="1" applyProtection="1">
      <alignment horizontal="center"/>
      <protection locked="0"/>
    </xf>
    <xf numFmtId="0" fontId="0" fillId="6" borderId="34" xfId="0" applyFill="1" applyBorder="1" applyAlignment="1" applyProtection="1">
      <alignment horizontal="center"/>
      <protection locked="0"/>
    </xf>
    <xf numFmtId="0" fontId="0" fillId="6" borderId="35" xfId="0" applyFill="1" applyBorder="1" applyAlignment="1" applyProtection="1">
      <alignment horizontal="center"/>
      <protection locked="0"/>
    </xf>
    <xf numFmtId="2" fontId="0" fillId="6" borderId="33" xfId="0" applyNumberFormat="1" applyFill="1" applyBorder="1" applyAlignment="1" applyProtection="1">
      <alignment horizontal="center"/>
      <protection locked="0"/>
    </xf>
    <xf numFmtId="2" fontId="0" fillId="6" borderId="34" xfId="0" applyNumberFormat="1" applyFill="1" applyBorder="1" applyAlignment="1" applyProtection="1">
      <alignment horizontal="center"/>
      <protection locked="0"/>
    </xf>
    <xf numFmtId="2" fontId="0" fillId="6" borderId="35" xfId="0" applyNumberFormat="1" applyFill="1" applyBorder="1" applyAlignment="1" applyProtection="1">
      <alignment horizontal="center"/>
      <protection locked="0"/>
    </xf>
    <xf numFmtId="0" fontId="0" fillId="6" borderId="36" xfId="0" applyFill="1" applyBorder="1" applyProtection="1">
      <protection locked="0"/>
    </xf>
    <xf numFmtId="164" fontId="0" fillId="6" borderId="37" xfId="0" applyNumberFormat="1" applyFill="1" applyBorder="1" applyAlignment="1" applyProtection="1">
      <alignment horizontal="center"/>
      <protection locked="0"/>
    </xf>
    <xf numFmtId="164" fontId="0" fillId="6" borderId="38" xfId="0" applyNumberFormat="1" applyFill="1" applyBorder="1" applyAlignment="1" applyProtection="1">
      <alignment horizontal="center"/>
      <protection locked="0"/>
    </xf>
    <xf numFmtId="0" fontId="0" fillId="6" borderId="29" xfId="0" applyFill="1" applyBorder="1" applyProtection="1">
      <protection locked="0"/>
    </xf>
    <xf numFmtId="164" fontId="0" fillId="6" borderId="17" xfId="0" applyNumberFormat="1" applyFill="1" applyBorder="1" applyAlignment="1" applyProtection="1">
      <alignment horizontal="center"/>
      <protection locked="0"/>
    </xf>
    <xf numFmtId="164" fontId="0" fillId="6" borderId="13" xfId="0" applyNumberFormat="1" applyFill="1" applyBorder="1" applyAlignment="1" applyProtection="1">
      <alignment horizontal="center"/>
      <protection locked="0"/>
    </xf>
    <xf numFmtId="0" fontId="0" fillId="6" borderId="30" xfId="0" applyFill="1" applyBorder="1" applyProtection="1">
      <protection locked="0"/>
    </xf>
    <xf numFmtId="164" fontId="0" fillId="6" borderId="31" xfId="0" applyNumberFormat="1" applyFill="1" applyBorder="1" applyAlignment="1" applyProtection="1">
      <alignment horizontal="center"/>
      <protection locked="0"/>
    </xf>
    <xf numFmtId="164" fontId="0" fillId="6" borderId="39" xfId="0" applyNumberFormat="1" applyFill="1" applyBorder="1" applyAlignment="1" applyProtection="1">
      <alignment horizontal="center"/>
      <protection locked="0"/>
    </xf>
    <xf numFmtId="10" fontId="0" fillId="6" borderId="32" xfId="0" applyNumberForma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6" fillId="0" borderId="0" xfId="0" applyFont="1" applyAlignment="1">
      <alignment horizontal="center"/>
    </xf>
    <xf numFmtId="0" fontId="10" fillId="0" borderId="0" xfId="3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0" fillId="6" borderId="36" xfId="0" applyNumberFormat="1" applyFill="1" applyBorder="1" applyAlignment="1" applyProtection="1">
      <alignment horizontal="left"/>
      <protection locked="0"/>
    </xf>
    <xf numFmtId="164" fontId="0" fillId="6" borderId="38" xfId="0" applyNumberFormat="1" applyFill="1" applyBorder="1" applyAlignment="1" applyProtection="1">
      <alignment horizontal="left"/>
      <protection locked="0"/>
    </xf>
    <xf numFmtId="164" fontId="0" fillId="6" borderId="29" xfId="0" applyNumberFormat="1" applyFill="1" applyBorder="1" applyAlignment="1" applyProtection="1">
      <alignment horizontal="left"/>
      <protection locked="0"/>
    </xf>
    <xf numFmtId="164" fontId="0" fillId="6" borderId="13" xfId="0" applyNumberFormat="1" applyFill="1" applyBorder="1" applyAlignment="1" applyProtection="1">
      <alignment horizontal="left"/>
      <protection locked="0"/>
    </xf>
    <xf numFmtId="164" fontId="0" fillId="6" borderId="30" xfId="0" applyNumberFormat="1" applyFill="1" applyBorder="1" applyAlignment="1" applyProtection="1">
      <alignment horizontal="left"/>
      <protection locked="0"/>
    </xf>
    <xf numFmtId="164" fontId="0" fillId="6" borderId="39" xfId="0" applyNumberFormat="1" applyFill="1" applyBorder="1" applyAlignment="1" applyProtection="1">
      <alignment horizontal="lef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22" xfId="0" applyFill="1" applyBorder="1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">
    <dxf>
      <font>
        <color theme="0" tint="-0.24994659260841701"/>
      </font>
    </dxf>
  </dxfs>
  <tableStyles count="0" defaultTableStyle="TableStyleMedium2" defaultPivotStyle="PivotStyleLight16"/>
  <colors>
    <mruColors>
      <color rgb="FFFF66FF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687705</xdr:colOff>
      <xdr:row>6</xdr:row>
      <xdr:rowOff>10068</xdr:rowOff>
    </xdr:from>
    <xdr:to>
      <xdr:col>3</xdr:col>
      <xdr:colOff>3616507</xdr:colOff>
      <xdr:row>22</xdr:row>
      <xdr:rowOff>40004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AE1A2-48DD-4C13-AC26-3E551DED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905" y="1305468"/>
          <a:ext cx="4034790" cy="2925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13</xdr:row>
      <xdr:rowOff>47626</xdr:rowOff>
    </xdr:from>
    <xdr:to>
      <xdr:col>2</xdr:col>
      <xdr:colOff>2133600</xdr:colOff>
      <xdr:row>35</xdr:row>
      <xdr:rowOff>34954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1FB8E1-2D01-449A-8A4A-0622495C51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60" t="19530" r="23655"/>
        <a:stretch/>
      </xdr:blipFill>
      <xdr:spPr>
        <a:xfrm>
          <a:off x="640080" y="2419351"/>
          <a:ext cx="3589020" cy="3968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hand7029@vandals.uidaho.ed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7EA1-5723-4B97-895F-2BEE71DD0ED4}">
  <sheetPr>
    <tabColor theme="8"/>
  </sheetPr>
  <dimension ref="B2:E37"/>
  <sheetViews>
    <sheetView showGridLines="0" tabSelected="1" zoomScale="90" zoomScaleNormal="90" workbookViewId="0">
      <selection activeCell="J18" sqref="J18"/>
    </sheetView>
  </sheetViews>
  <sheetFormatPr baseColWidth="10" defaultColWidth="8.83203125" defaultRowHeight="15" x14ac:dyDescent="0.2"/>
  <cols>
    <col min="3" max="3" width="16.1640625" customWidth="1"/>
    <col min="4" max="4" width="69" customWidth="1"/>
  </cols>
  <sheetData>
    <row r="2" spans="2:5" ht="16" thickBot="1" x14ac:dyDescent="0.25"/>
    <row r="3" spans="2:5" ht="30" thickBot="1" x14ac:dyDescent="0.4">
      <c r="B3" s="120" t="s">
        <v>0</v>
      </c>
      <c r="C3" s="121"/>
      <c r="D3" s="121"/>
      <c r="E3" s="122"/>
    </row>
    <row r="4" spans="2:5" ht="16" thickBot="1" x14ac:dyDescent="0.25"/>
    <row r="5" spans="2:5" x14ac:dyDescent="0.2">
      <c r="B5" s="20"/>
      <c r="C5" s="21"/>
      <c r="D5" s="21"/>
      <c r="E5" s="22"/>
    </row>
    <row r="6" spans="2:5" x14ac:dyDescent="0.2">
      <c r="B6" s="6"/>
      <c r="E6" s="7"/>
    </row>
    <row r="7" spans="2:5" x14ac:dyDescent="0.2">
      <c r="B7" s="6"/>
      <c r="E7" s="7"/>
    </row>
    <row r="8" spans="2:5" x14ac:dyDescent="0.2">
      <c r="B8" s="6"/>
      <c r="E8" s="7"/>
    </row>
    <row r="9" spans="2:5" x14ac:dyDescent="0.2">
      <c r="B9" s="6"/>
      <c r="E9" s="7"/>
    </row>
    <row r="10" spans="2:5" x14ac:dyDescent="0.2">
      <c r="B10" s="6"/>
      <c r="E10" s="7"/>
    </row>
    <row r="11" spans="2:5" x14ac:dyDescent="0.2">
      <c r="B11" s="6"/>
      <c r="E11" s="7"/>
    </row>
    <row r="12" spans="2:5" x14ac:dyDescent="0.2">
      <c r="B12" s="6"/>
      <c r="E12" s="7"/>
    </row>
    <row r="13" spans="2:5" x14ac:dyDescent="0.2">
      <c r="B13" s="6"/>
      <c r="E13" s="7"/>
    </row>
    <row r="14" spans="2:5" x14ac:dyDescent="0.2">
      <c r="B14" s="6"/>
      <c r="E14" s="7"/>
    </row>
    <row r="15" spans="2:5" x14ac:dyDescent="0.2">
      <c r="B15" s="6"/>
      <c r="E15" s="7"/>
    </row>
    <row r="16" spans="2:5" x14ac:dyDescent="0.2">
      <c r="B16" s="6"/>
      <c r="E16" s="7"/>
    </row>
    <row r="17" spans="2:5" x14ac:dyDescent="0.2">
      <c r="B17" s="6"/>
      <c r="E17" s="7"/>
    </row>
    <row r="18" spans="2:5" x14ac:dyDescent="0.2">
      <c r="B18" s="6"/>
      <c r="E18" s="7"/>
    </row>
    <row r="19" spans="2:5" x14ac:dyDescent="0.2">
      <c r="B19" s="6"/>
      <c r="E19" s="7"/>
    </row>
    <row r="20" spans="2:5" x14ac:dyDescent="0.2">
      <c r="B20" s="6"/>
      <c r="E20" s="7"/>
    </row>
    <row r="21" spans="2:5" x14ac:dyDescent="0.2">
      <c r="B21" s="6"/>
      <c r="E21" s="7"/>
    </row>
    <row r="22" spans="2:5" x14ac:dyDescent="0.2">
      <c r="B22" s="6"/>
      <c r="E22" s="7"/>
    </row>
    <row r="23" spans="2:5" x14ac:dyDescent="0.2">
      <c r="B23" s="6"/>
      <c r="E23" s="7"/>
    </row>
    <row r="24" spans="2:5" x14ac:dyDescent="0.2">
      <c r="B24" s="6"/>
      <c r="E24" s="7"/>
    </row>
    <row r="25" spans="2:5" x14ac:dyDescent="0.2">
      <c r="B25" s="6"/>
      <c r="C25" s="78" t="s">
        <v>1</v>
      </c>
      <c r="D25" s="23" t="s">
        <v>2</v>
      </c>
      <c r="E25" s="7"/>
    </row>
    <row r="26" spans="2:5" x14ac:dyDescent="0.2">
      <c r="B26" s="6"/>
      <c r="C26" s="55" t="s">
        <v>3</v>
      </c>
      <c r="D26" s="23" t="s">
        <v>4</v>
      </c>
      <c r="E26" s="7"/>
    </row>
    <row r="27" spans="2:5" x14ac:dyDescent="0.2">
      <c r="B27" s="6"/>
      <c r="C27" s="1"/>
      <c r="D27" s="23" t="s">
        <v>5</v>
      </c>
      <c r="E27" s="7"/>
    </row>
    <row r="28" spans="2:5" x14ac:dyDescent="0.2">
      <c r="B28" s="6"/>
      <c r="E28" s="7"/>
    </row>
    <row r="29" spans="2:5" x14ac:dyDescent="0.2">
      <c r="B29" s="6"/>
      <c r="C29" s="123" t="s">
        <v>6</v>
      </c>
      <c r="D29" s="123"/>
      <c r="E29" s="7"/>
    </row>
    <row r="30" spans="2:5" x14ac:dyDescent="0.2">
      <c r="B30" s="6"/>
      <c r="C30" s="118" t="s">
        <v>7</v>
      </c>
      <c r="D30" s="118"/>
      <c r="E30" s="7"/>
    </row>
    <row r="31" spans="2:5" x14ac:dyDescent="0.2">
      <c r="B31" s="6"/>
      <c r="C31" s="118" t="s">
        <v>8</v>
      </c>
      <c r="D31" s="118"/>
      <c r="E31" s="7"/>
    </row>
    <row r="32" spans="2:5" x14ac:dyDescent="0.2">
      <c r="B32" s="6"/>
      <c r="C32" s="118" t="s">
        <v>9</v>
      </c>
      <c r="D32" s="118"/>
      <c r="E32" s="7"/>
    </row>
    <row r="33" spans="2:5" x14ac:dyDescent="0.2">
      <c r="B33" s="124" t="s">
        <v>10</v>
      </c>
      <c r="C33" s="118"/>
      <c r="D33" s="118"/>
      <c r="E33" s="125"/>
    </row>
    <row r="34" spans="2:5" x14ac:dyDescent="0.2">
      <c r="B34" s="6"/>
      <c r="C34" s="117" t="s">
        <v>11</v>
      </c>
      <c r="D34" s="118"/>
      <c r="E34" s="7"/>
    </row>
    <row r="35" spans="2:5" x14ac:dyDescent="0.2">
      <c r="B35" s="6"/>
      <c r="C35" s="119"/>
      <c r="D35" s="119"/>
      <c r="E35" s="7"/>
    </row>
    <row r="36" spans="2:5" x14ac:dyDescent="0.2">
      <c r="B36" s="6"/>
      <c r="C36" s="116" t="s">
        <v>12</v>
      </c>
      <c r="D36" s="116"/>
      <c r="E36" s="7"/>
    </row>
    <row r="37" spans="2:5" ht="16" thickBot="1" x14ac:dyDescent="0.25">
      <c r="B37" s="8"/>
      <c r="C37" s="9"/>
      <c r="D37" s="9"/>
      <c r="E37" s="10"/>
    </row>
  </sheetData>
  <sheetProtection sheet="1" objects="1" scenarios="1"/>
  <mergeCells count="9">
    <mergeCell ref="C36:D36"/>
    <mergeCell ref="C34:D34"/>
    <mergeCell ref="C35:D35"/>
    <mergeCell ref="B3:E3"/>
    <mergeCell ref="C29:D29"/>
    <mergeCell ref="C30:D30"/>
    <mergeCell ref="C31:D31"/>
    <mergeCell ref="C32:D32"/>
    <mergeCell ref="B33:E33"/>
  </mergeCells>
  <hyperlinks>
    <hyperlink ref="C34" r:id="rId1" xr:uid="{64CB7680-0F15-4AA0-91CF-9EFA35F7027A}"/>
  </hyperlinks>
  <pageMargins left="0.7" right="0.7" top="0.75" bottom="0.75" header="0.3" footer="0.3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08A0271-CC8F-4624-8957-1FE41298AEEB}">
          <x14:formula1>
            <xm:f>'Misc Menu Items (HIDE)'!$B$5:$B$7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D527-9AF4-402F-B268-E6AF4FECF07D}">
  <sheetPr>
    <tabColor rgb="FFFFC000"/>
  </sheetPr>
  <dimension ref="B2:F11"/>
  <sheetViews>
    <sheetView zoomScale="80" zoomScaleNormal="80" workbookViewId="0">
      <selection activeCell="D24" sqref="D24"/>
    </sheetView>
  </sheetViews>
  <sheetFormatPr baseColWidth="10" defaultColWidth="8.83203125" defaultRowHeight="15" x14ac:dyDescent="0.2"/>
  <cols>
    <col min="2" max="2" width="21.6640625" bestFit="1" customWidth="1"/>
    <col min="3" max="3" width="89.5" bestFit="1" customWidth="1"/>
    <col min="4" max="4" width="32.33203125" customWidth="1"/>
    <col min="5" max="5" width="12.33203125" style="16" customWidth="1"/>
  </cols>
  <sheetData>
    <row r="2" spans="2:6" x14ac:dyDescent="0.2">
      <c r="B2" s="126" t="s">
        <v>13</v>
      </c>
      <c r="C2" s="126"/>
      <c r="D2" s="126"/>
    </row>
    <row r="3" spans="2:6" x14ac:dyDescent="0.2">
      <c r="B3" s="127" t="s">
        <v>14</v>
      </c>
      <c r="C3" s="127"/>
      <c r="D3" s="127"/>
    </row>
    <row r="4" spans="2:6" ht="16" thickBot="1" x14ac:dyDescent="0.25">
      <c r="B4" s="3" t="s">
        <v>15</v>
      </c>
      <c r="C4" s="3" t="s">
        <v>16</v>
      </c>
      <c r="D4" s="3" t="s">
        <v>17</v>
      </c>
      <c r="E4" s="16" t="s">
        <v>18</v>
      </c>
    </row>
    <row r="5" spans="2:6" x14ac:dyDescent="0.2">
      <c r="B5" t="s">
        <v>19</v>
      </c>
      <c r="C5" t="s">
        <v>20</v>
      </c>
      <c r="D5" s="88" t="s">
        <v>21</v>
      </c>
    </row>
    <row r="6" spans="2:6" x14ac:dyDescent="0.2">
      <c r="B6" t="s">
        <v>22</v>
      </c>
      <c r="C6" t="s">
        <v>23</v>
      </c>
      <c r="D6" s="89">
        <v>2022</v>
      </c>
    </row>
    <row r="7" spans="2:6" x14ac:dyDescent="0.2">
      <c r="B7" t="s">
        <v>24</v>
      </c>
      <c r="C7" t="s">
        <v>25</v>
      </c>
      <c r="D7" s="89">
        <v>550</v>
      </c>
    </row>
    <row r="8" spans="2:6" x14ac:dyDescent="0.2">
      <c r="B8" t="s">
        <v>26</v>
      </c>
      <c r="C8" t="s">
        <v>27</v>
      </c>
      <c r="D8" s="90" t="s">
        <v>172</v>
      </c>
      <c r="E8" s="16" t="s">
        <v>18</v>
      </c>
      <c r="F8" s="47" t="s">
        <v>29</v>
      </c>
    </row>
    <row r="9" spans="2:6" x14ac:dyDescent="0.2">
      <c r="B9" t="s">
        <v>30</v>
      </c>
      <c r="C9" t="s">
        <v>31</v>
      </c>
      <c r="D9" s="91">
        <v>0.6</v>
      </c>
    </row>
    <row r="10" spans="2:6" x14ac:dyDescent="0.2">
      <c r="B10" t="s">
        <v>32</v>
      </c>
      <c r="C10" t="s">
        <v>33</v>
      </c>
      <c r="D10" s="92">
        <v>6.5000000000000002E-2</v>
      </c>
      <c r="E10" s="16" t="s">
        <v>18</v>
      </c>
    </row>
    <row r="11" spans="2:6" ht="16" thickBot="1" x14ac:dyDescent="0.25">
      <c r="B11" t="s">
        <v>34</v>
      </c>
      <c r="C11" t="s">
        <v>35</v>
      </c>
      <c r="D11" s="93" t="s">
        <v>36</v>
      </c>
      <c r="E11" s="16" t="s">
        <v>18</v>
      </c>
      <c r="F11" s="47"/>
    </row>
  </sheetData>
  <sheetProtection sheet="1" objects="1" scenarios="1"/>
  <mergeCells count="2">
    <mergeCell ref="B2:D2"/>
    <mergeCell ref="B3:D3"/>
  </mergeCells>
  <dataValidations count="1">
    <dataValidation showInputMessage="1" showErrorMessage="1" sqref="D10" xr:uid="{3682CE9B-EBE9-4AC1-9FF8-CC4AE19562A8}"/>
  </dataValidations>
  <pageMargins left="0.7" right="0.7" top="0.75" bottom="0.75" header="0.3" footer="0.3"/>
  <pageSetup orientation="portrait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43AF0AA8-6EE7-477F-B6C8-F428C879044D}">
          <x14:formula1>
            <xm:f>'Misc Menu Items (HIDE)'!$D$5:$D$6</xm:f>
          </x14:formula1>
          <xm:sqref>D11</xm:sqref>
        </x14:dataValidation>
        <x14:dataValidation type="list" showInputMessage="1" showErrorMessage="1" xr:uid="{DEEC52D3-66FE-49B0-989D-D139FFDFD90B}">
          <x14:formula1>
            <xm:f>'Misc Menu Items (HIDE)'!$H$5:$H$15</xm:f>
          </x14:formula1>
          <xm:sqref>D9</xm:sqref>
        </x14:dataValidation>
        <x14:dataValidation type="list" showInputMessage="1" showErrorMessage="1" xr:uid="{669F5CC9-68E3-4EC0-A914-572A211A429F}">
          <x14:formula1>
            <xm:f>'Misc Menu Items (HIDE)'!$J$5:$J$8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E827-84B3-44CB-91D2-AAE075CB0120}">
  <sheetPr>
    <tabColor rgb="FFFF0000"/>
  </sheetPr>
  <dimension ref="B1:P170"/>
  <sheetViews>
    <sheetView zoomScale="80" zoomScaleNormal="80" workbookViewId="0">
      <selection activeCell="C43" sqref="C43"/>
    </sheetView>
  </sheetViews>
  <sheetFormatPr baseColWidth="10" defaultColWidth="8.83203125" defaultRowHeight="15" x14ac:dyDescent="0.2"/>
  <cols>
    <col min="1" max="1" width="3.6640625" customWidth="1"/>
    <col min="2" max="2" width="45.5" customWidth="1"/>
    <col min="3" max="3" width="19.6640625" style="26" customWidth="1"/>
    <col min="4" max="4" width="17.6640625" style="1" bestFit="1" customWidth="1"/>
    <col min="5" max="5" width="22.6640625" style="65" customWidth="1"/>
    <col min="6" max="6" width="23.5" style="1" customWidth="1"/>
    <col min="7" max="7" width="5.33203125" style="1" customWidth="1"/>
    <col min="8" max="8" width="22.33203125" style="26" bestFit="1" customWidth="1"/>
    <col min="9" max="9" width="6.33203125" style="1" customWidth="1"/>
    <col min="10" max="10" width="26.5" style="1" bestFit="1" customWidth="1"/>
    <col min="11" max="11" width="5.33203125" style="1" customWidth="1"/>
    <col min="12" max="12" width="14.5" style="26" customWidth="1"/>
    <col min="14" max="14" width="24.83203125" style="26" customWidth="1"/>
    <col min="16" max="16" width="10.5" bestFit="1" customWidth="1"/>
  </cols>
  <sheetData>
    <row r="1" spans="2:14" ht="16" thickBot="1" x14ac:dyDescent="0.25"/>
    <row r="2" spans="2:14" ht="24" x14ac:dyDescent="0.3">
      <c r="B2" s="129" t="s">
        <v>37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2:14" ht="20" thickBot="1" x14ac:dyDescent="0.3">
      <c r="B3" s="132" t="s">
        <v>38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2:14" x14ac:dyDescent="0.2">
      <c r="B4" s="20"/>
      <c r="C4" s="59"/>
      <c r="D4" s="60"/>
      <c r="E4" s="66"/>
      <c r="F4" s="60"/>
      <c r="G4" s="60"/>
      <c r="H4" s="59"/>
      <c r="I4" s="60"/>
      <c r="K4" s="60"/>
      <c r="L4" s="59"/>
      <c r="M4" s="21"/>
      <c r="N4" s="71" t="s">
        <v>39</v>
      </c>
    </row>
    <row r="5" spans="2:14" x14ac:dyDescent="0.2">
      <c r="B5" s="6"/>
      <c r="D5" s="26" t="s">
        <v>40</v>
      </c>
      <c r="E5" s="65" t="s">
        <v>41</v>
      </c>
      <c r="F5" s="1" t="s">
        <v>42</v>
      </c>
      <c r="G5" s="1" t="s">
        <v>43</v>
      </c>
      <c r="H5" s="26" t="s">
        <v>44</v>
      </c>
      <c r="J5" s="1" t="s">
        <v>45</v>
      </c>
      <c r="N5" s="63"/>
    </row>
    <row r="6" spans="2:14" ht="16" thickBot="1" x14ac:dyDescent="0.25">
      <c r="B6" s="6"/>
      <c r="N6" s="63"/>
    </row>
    <row r="7" spans="2:14" ht="16" thickBot="1" x14ac:dyDescent="0.25">
      <c r="B7" s="6" t="s">
        <v>46</v>
      </c>
      <c r="D7" s="94">
        <v>56</v>
      </c>
      <c r="E7" s="65" t="s">
        <v>41</v>
      </c>
      <c r="F7" s="95">
        <v>39.5</v>
      </c>
      <c r="G7" s="1" t="s">
        <v>43</v>
      </c>
      <c r="H7" s="26">
        <f>D7*F7</f>
        <v>2212</v>
      </c>
      <c r="J7" s="26">
        <f>H7</f>
        <v>2212</v>
      </c>
      <c r="N7" s="63">
        <f>J7</f>
        <v>2212</v>
      </c>
    </row>
    <row r="8" spans="2:14" ht="16" thickBot="1" x14ac:dyDescent="0.25">
      <c r="B8" s="18" t="s">
        <v>47</v>
      </c>
      <c r="J8" s="94">
        <v>0.15</v>
      </c>
      <c r="N8" s="63">
        <f>F7*J8</f>
        <v>5.9249999999999998</v>
      </c>
    </row>
    <row r="9" spans="2:14" ht="16" thickBot="1" x14ac:dyDescent="0.25">
      <c r="B9" s="18" t="s">
        <v>48</v>
      </c>
      <c r="J9" s="94">
        <v>0</v>
      </c>
      <c r="N9" s="63">
        <f>J9</f>
        <v>0</v>
      </c>
    </row>
    <row r="10" spans="2:14" ht="16" thickBot="1" x14ac:dyDescent="0.25">
      <c r="B10" s="18"/>
      <c r="J10" s="26"/>
      <c r="N10" s="63"/>
    </row>
    <row r="11" spans="2:14" ht="16" thickBot="1" x14ac:dyDescent="0.25">
      <c r="B11" s="18" t="s">
        <v>49</v>
      </c>
      <c r="J11" s="94">
        <v>0</v>
      </c>
      <c r="N11" s="63">
        <f>J11</f>
        <v>0</v>
      </c>
    </row>
    <row r="12" spans="2:14" x14ac:dyDescent="0.2">
      <c r="B12" s="6"/>
      <c r="J12" s="26"/>
      <c r="N12" s="63"/>
    </row>
    <row r="13" spans="2:14" x14ac:dyDescent="0.2">
      <c r="B13" s="6"/>
      <c r="H13" s="135" t="s">
        <v>50</v>
      </c>
      <c r="I13" s="135"/>
      <c r="J13" s="135"/>
      <c r="K13" s="58" t="s">
        <v>51</v>
      </c>
      <c r="L13" s="80" t="s">
        <v>52</v>
      </c>
      <c r="N13" s="63"/>
    </row>
    <row r="14" spans="2:14" x14ac:dyDescent="0.2">
      <c r="B14" s="61" t="s">
        <v>53</v>
      </c>
      <c r="C14" s="56" t="s">
        <v>54</v>
      </c>
      <c r="D14" s="35" t="s">
        <v>55</v>
      </c>
      <c r="E14" s="67" t="s">
        <v>56</v>
      </c>
      <c r="F14" s="35" t="s">
        <v>57</v>
      </c>
      <c r="G14" s="35"/>
      <c r="H14" s="56" t="s">
        <v>58</v>
      </c>
      <c r="I14" s="35"/>
      <c r="J14" s="35" t="s">
        <v>56</v>
      </c>
      <c r="K14" s="57" t="s">
        <v>51</v>
      </c>
      <c r="L14" s="56" t="s">
        <v>57</v>
      </c>
      <c r="N14" s="63"/>
    </row>
    <row r="15" spans="2:14" x14ac:dyDescent="0.2">
      <c r="B15" s="28"/>
      <c r="K15" s="58"/>
      <c r="N15" s="63"/>
    </row>
    <row r="16" spans="2:14" x14ac:dyDescent="0.2">
      <c r="B16" s="136" t="s">
        <v>59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N16" s="63"/>
    </row>
    <row r="17" spans="2:14" ht="16" thickBot="1" x14ac:dyDescent="0.25">
      <c r="B17" s="62"/>
      <c r="C17" s="2"/>
      <c r="D17" s="2"/>
      <c r="E17" s="68"/>
      <c r="F17" s="2"/>
      <c r="G17" s="2"/>
      <c r="H17" s="79"/>
      <c r="I17" s="2"/>
      <c r="J17" s="2"/>
      <c r="K17" s="2"/>
      <c r="L17" s="79"/>
      <c r="N17" s="63"/>
    </row>
    <row r="18" spans="2:14" ht="16" thickBot="1" x14ac:dyDescent="0.25">
      <c r="B18" s="115" t="s">
        <v>60</v>
      </c>
      <c r="C18" s="26">
        <f ca="1">VLOOKUP(B18,'Worksheet Inputs (HIDE)'!B5:I9,2,FALSE)</f>
        <v>414</v>
      </c>
      <c r="D18" s="1" t="str">
        <f>VLOOKUP(B18,'Worksheet Inputs (HIDE)'!B5:I9,3,FALSE)</f>
        <v>100,000 Units</v>
      </c>
      <c r="E18" s="65">
        <f>VLOOKUP(B18,'Worksheet Inputs (HIDE)'!B5:I9,4,FALSE)</f>
        <v>0.6</v>
      </c>
      <c r="F18" s="26">
        <f ca="1">C18*E18</f>
        <v>248.39999999999998</v>
      </c>
      <c r="H18" s="94"/>
      <c r="I18" s="1" t="s">
        <v>61</v>
      </c>
      <c r="J18" s="95"/>
      <c r="K18" s="58" t="s">
        <v>51</v>
      </c>
      <c r="L18" s="94"/>
      <c r="N18" s="63">
        <f ca="1">IF(AND(H18="",J18="",L18=""),F18,IF(L18="",IF(H18="",C18,H18)*IF(J18="",E18,J18),L18))</f>
        <v>248.39999999999998</v>
      </c>
    </row>
    <row r="19" spans="2:14" x14ac:dyDescent="0.2">
      <c r="B19" s="6"/>
      <c r="N19" s="63"/>
    </row>
    <row r="20" spans="2:14" x14ac:dyDescent="0.2">
      <c r="B20" s="136" t="s">
        <v>62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N20" s="63"/>
    </row>
    <row r="21" spans="2:14" ht="16" thickBot="1" x14ac:dyDescent="0.25">
      <c r="B21" s="6"/>
      <c r="N21" s="63"/>
    </row>
    <row r="22" spans="2:14" x14ac:dyDescent="0.2">
      <c r="B22" s="115" t="s">
        <v>63</v>
      </c>
      <c r="C22" s="26">
        <f ca="1">VLOOKUP(B22,'Worksheet Inputs (HIDE)'!$B$14:$I$23,2,FALSE)</f>
        <v>1000</v>
      </c>
      <c r="D22" s="26" t="str">
        <f>VLOOKUP(B22,'Worksheet Inputs (HIDE)'!$B$14:$I$23,3,FALSE)</f>
        <v>ton</v>
      </c>
      <c r="E22" s="65">
        <f>VLOOKUP(B22,'Worksheet Inputs (HIDE)'!$B$14:$I$23,4,FALSE)</f>
        <v>0.03</v>
      </c>
      <c r="F22" s="26">
        <f ca="1">IF(C22&lt;&gt;"",C22*E22,"")</f>
        <v>30</v>
      </c>
      <c r="H22" s="96"/>
      <c r="I22" s="1" t="s">
        <v>61</v>
      </c>
      <c r="J22" s="99"/>
      <c r="K22" s="58" t="s">
        <v>51</v>
      </c>
      <c r="L22" s="96"/>
      <c r="N22" s="63">
        <f t="shared" ref="N22:N55" ca="1" si="0">IF(AND(H22="",J22="",L22=""),F22,IF(L22="",IF(H22="",C22,H22)*IF(J22="",E22,J22),L22))</f>
        <v>30</v>
      </c>
    </row>
    <row r="23" spans="2:14" x14ac:dyDescent="0.2">
      <c r="B23" s="115" t="s">
        <v>64</v>
      </c>
      <c r="C23" s="26">
        <f ca="1">VLOOKUP(B23,'Worksheet Inputs (HIDE)'!$B$14:$I$23,2,FALSE)</f>
        <v>1065</v>
      </c>
      <c r="D23" s="26" t="str">
        <f>VLOOKUP(B23,'Worksheet Inputs (HIDE)'!$B$14:$I$23,3,FALSE)</f>
        <v>ton</v>
      </c>
      <c r="E23" s="65">
        <f>VLOOKUP(B23,'Worksheet Inputs (HIDE)'!$B$14:$I$23,4,FALSE)</f>
        <v>2.2499999999999999E-2</v>
      </c>
      <c r="F23" s="26">
        <f t="shared" ref="F23:F31" ca="1" si="1">IF(C23&lt;&gt;"",C23*E23,"")</f>
        <v>23.962499999999999</v>
      </c>
      <c r="H23" s="97"/>
      <c r="I23" s="1" t="s">
        <v>61</v>
      </c>
      <c r="J23" s="100"/>
      <c r="K23" s="58" t="s">
        <v>51</v>
      </c>
      <c r="L23" s="97"/>
      <c r="N23" s="63">
        <f t="shared" ca="1" si="0"/>
        <v>23.962499999999999</v>
      </c>
    </row>
    <row r="24" spans="2:14" x14ac:dyDescent="0.2">
      <c r="B24" s="115" t="s">
        <v>65</v>
      </c>
      <c r="C24" s="26">
        <f ca="1">VLOOKUP(B24,'Worksheet Inputs (HIDE)'!$B$14:$I$23,2,FALSE)</f>
        <v>900</v>
      </c>
      <c r="D24" s="26" t="str">
        <f>VLOOKUP(B24,'Worksheet Inputs (HIDE)'!$B$14:$I$23,3,FALSE)</f>
        <v>ton</v>
      </c>
      <c r="E24" s="65">
        <f>VLOOKUP(B24,'Worksheet Inputs (HIDE)'!$B$14:$I$23,4,FALSE)</f>
        <v>3.2500000000000001E-2</v>
      </c>
      <c r="F24" s="26">
        <f t="shared" ca="1" si="1"/>
        <v>29.25</v>
      </c>
      <c r="H24" s="97"/>
      <c r="I24" s="1" t="s">
        <v>61</v>
      </c>
      <c r="J24" s="100"/>
      <c r="K24" s="58" t="s">
        <v>51</v>
      </c>
      <c r="L24" s="97"/>
      <c r="N24" s="63">
        <f t="shared" ca="1" si="0"/>
        <v>29.25</v>
      </c>
    </row>
    <row r="25" spans="2:14" x14ac:dyDescent="0.2">
      <c r="B25" s="115" t="s">
        <v>66</v>
      </c>
      <c r="C25" s="26">
        <f ca="1">VLOOKUP(B25,'Worksheet Inputs (HIDE)'!$B$14:$I$23,2,FALSE)</f>
        <v>718.33</v>
      </c>
      <c r="D25" s="26" t="str">
        <f>VLOOKUP(B25,'Worksheet Inputs (HIDE)'!$B$14:$I$23,3,FALSE)</f>
        <v>ton</v>
      </c>
      <c r="E25" s="65">
        <f>VLOOKUP(B25,'Worksheet Inputs (HIDE)'!$B$14:$I$23,4,FALSE)</f>
        <v>2.75E-2</v>
      </c>
      <c r="F25" s="26">
        <f t="shared" ca="1" si="1"/>
        <v>19.754075</v>
      </c>
      <c r="H25" s="97"/>
      <c r="I25" s="1" t="s">
        <v>61</v>
      </c>
      <c r="J25" s="100"/>
      <c r="K25" s="58" t="s">
        <v>51</v>
      </c>
      <c r="L25" s="97"/>
      <c r="N25" s="63">
        <f t="shared" ca="1" si="0"/>
        <v>19.754075</v>
      </c>
    </row>
    <row r="26" spans="2:14" x14ac:dyDescent="0.2">
      <c r="B26" s="115" t="s">
        <v>67</v>
      </c>
      <c r="C26" s="26">
        <f ca="1">VLOOKUP(B26,'Worksheet Inputs (HIDE)'!$B$14:$I$23,2,FALSE)</f>
        <v>8</v>
      </c>
      <c r="D26" s="26" t="str">
        <f>VLOOKUP(B26,'Worksheet Inputs (HIDE)'!$B$14:$I$23,3,FALSE)</f>
        <v>per acre</v>
      </c>
      <c r="E26" s="65">
        <f>VLOOKUP(B26,'Worksheet Inputs (HIDE)'!$B$14:$I$23,4,FALSE)</f>
        <v>1</v>
      </c>
      <c r="F26" s="26">
        <f t="shared" ca="1" si="1"/>
        <v>8</v>
      </c>
      <c r="H26" s="97"/>
      <c r="I26" s="1" t="s">
        <v>61</v>
      </c>
      <c r="J26" s="100"/>
      <c r="K26" s="58" t="s">
        <v>51</v>
      </c>
      <c r="L26" s="97"/>
      <c r="N26" s="63">
        <f t="shared" ca="1" si="0"/>
        <v>8</v>
      </c>
    </row>
    <row r="27" spans="2:14" x14ac:dyDescent="0.2">
      <c r="B27" s="115" t="s">
        <v>68</v>
      </c>
      <c r="C27" s="26">
        <f ca="1">VLOOKUP(B27,'Worksheet Inputs (HIDE)'!$B$14:$I$23,2,FALSE)</f>
        <v>7.5</v>
      </c>
      <c r="D27" s="26" t="str">
        <f>VLOOKUP(B27,'Worksheet Inputs (HIDE)'!$B$14:$I$23,3,FALSE)</f>
        <v>per acre</v>
      </c>
      <c r="E27" s="65">
        <f>VLOOKUP(B27,'Worksheet Inputs (HIDE)'!$B$14:$I$23,4,FALSE)</f>
        <v>1</v>
      </c>
      <c r="F27" s="26">
        <f ca="1">IF(C27&lt;&gt;"",C27*E27,"")</f>
        <v>7.5</v>
      </c>
      <c r="H27" s="97"/>
      <c r="I27" s="1" t="s">
        <v>61</v>
      </c>
      <c r="J27" s="100"/>
      <c r="K27" s="58" t="s">
        <v>51</v>
      </c>
      <c r="L27" s="97"/>
      <c r="N27" s="63">
        <f t="shared" ca="1" si="0"/>
        <v>7.5</v>
      </c>
    </row>
    <row r="28" spans="2:14" x14ac:dyDescent="0.2">
      <c r="B28" s="115" t="s">
        <v>69</v>
      </c>
      <c r="C28" s="26" t="str">
        <f>VLOOKUP(B28,'Worksheet Inputs (HIDE)'!$B$14:$I$23,2,FALSE)</f>
        <v/>
      </c>
      <c r="D28" s="26" t="str">
        <f>VLOOKUP(B28,'Worksheet Inputs (HIDE)'!$B$14:$I$23,3,FALSE)</f>
        <v/>
      </c>
      <c r="E28" s="65" t="str">
        <f>VLOOKUP(B28,'Worksheet Inputs (HIDE)'!$B$14:$I$23,4,FALSE)</f>
        <v/>
      </c>
      <c r="F28" s="26" t="str">
        <f t="shared" si="1"/>
        <v/>
      </c>
      <c r="H28" s="97"/>
      <c r="I28" s="1" t="s">
        <v>61</v>
      </c>
      <c r="J28" s="100"/>
      <c r="K28" s="58" t="s">
        <v>51</v>
      </c>
      <c r="L28" s="97"/>
      <c r="N28" s="63" t="str">
        <f t="shared" si="0"/>
        <v/>
      </c>
    </row>
    <row r="29" spans="2:14" x14ac:dyDescent="0.2">
      <c r="B29" s="115" t="s">
        <v>69</v>
      </c>
      <c r="C29" s="26" t="str">
        <f>VLOOKUP(B29,'Worksheet Inputs (HIDE)'!$B$14:$I$23,2,FALSE)</f>
        <v/>
      </c>
      <c r="D29" s="26" t="str">
        <f>VLOOKUP(B29,'Worksheet Inputs (HIDE)'!$B$14:$I$23,3,FALSE)</f>
        <v/>
      </c>
      <c r="E29" s="65" t="str">
        <f>VLOOKUP(B29,'Worksheet Inputs (HIDE)'!$B$14:$I$23,4,FALSE)</f>
        <v/>
      </c>
      <c r="F29" s="26" t="str">
        <f t="shared" si="1"/>
        <v/>
      </c>
      <c r="H29" s="97"/>
      <c r="I29" s="1" t="s">
        <v>61</v>
      </c>
      <c r="J29" s="100"/>
      <c r="K29" s="58" t="s">
        <v>51</v>
      </c>
      <c r="L29" s="97"/>
      <c r="N29" s="63" t="str">
        <f t="shared" si="0"/>
        <v/>
      </c>
    </row>
    <row r="30" spans="2:14" x14ac:dyDescent="0.2">
      <c r="B30" s="115" t="s">
        <v>69</v>
      </c>
      <c r="C30" s="26" t="str">
        <f>VLOOKUP(B30,'Worksheet Inputs (HIDE)'!$B$14:$I$23,2,FALSE)</f>
        <v/>
      </c>
      <c r="D30" s="26" t="str">
        <f>VLOOKUP(B30,'Worksheet Inputs (HIDE)'!$B$14:$I$23,3,FALSE)</f>
        <v/>
      </c>
      <c r="E30" s="65" t="str">
        <f>VLOOKUP(B30,'Worksheet Inputs (HIDE)'!$B$14:$I$23,4,FALSE)</f>
        <v/>
      </c>
      <c r="F30" s="26" t="str">
        <f t="shared" si="1"/>
        <v/>
      </c>
      <c r="H30" s="97"/>
      <c r="I30" s="1" t="s">
        <v>61</v>
      </c>
      <c r="J30" s="100"/>
      <c r="K30" s="58" t="s">
        <v>51</v>
      </c>
      <c r="L30" s="97"/>
      <c r="N30" s="63" t="str">
        <f t="shared" si="0"/>
        <v/>
      </c>
    </row>
    <row r="31" spans="2:14" ht="16" thickBot="1" x14ac:dyDescent="0.25">
      <c r="B31" s="115" t="s">
        <v>69</v>
      </c>
      <c r="C31" s="26" t="str">
        <f>VLOOKUP(B31,'Worksheet Inputs (HIDE)'!$B$14:$I$23,2,FALSE)</f>
        <v/>
      </c>
      <c r="D31" s="26" t="str">
        <f>VLOOKUP(B31,'Worksheet Inputs (HIDE)'!$B$14:$I$23,3,FALSE)</f>
        <v/>
      </c>
      <c r="E31" s="65" t="str">
        <f>VLOOKUP(B31,'Worksheet Inputs (HIDE)'!$B$14:$I$23,4,FALSE)</f>
        <v/>
      </c>
      <c r="F31" s="26" t="str">
        <f t="shared" si="1"/>
        <v/>
      </c>
      <c r="H31" s="98"/>
      <c r="I31" s="1" t="s">
        <v>61</v>
      </c>
      <c r="J31" s="101"/>
      <c r="K31" s="58" t="s">
        <v>51</v>
      </c>
      <c r="L31" s="98"/>
      <c r="N31" s="63" t="str">
        <f t="shared" si="0"/>
        <v/>
      </c>
    </row>
    <row r="32" spans="2:14" ht="16" thickBot="1" x14ac:dyDescent="0.25">
      <c r="B32" s="6"/>
      <c r="D32" s="26"/>
      <c r="E32" s="128" t="s">
        <v>70</v>
      </c>
      <c r="F32" s="128"/>
      <c r="K32" s="58"/>
      <c r="N32" s="63"/>
    </row>
    <row r="33" spans="2:14" x14ac:dyDescent="0.2">
      <c r="B33" s="6"/>
      <c r="D33" s="26" t="s">
        <v>71</v>
      </c>
      <c r="E33" s="137"/>
      <c r="F33" s="138"/>
      <c r="H33" s="96"/>
      <c r="I33" s="1" t="s">
        <v>61</v>
      </c>
      <c r="J33" s="99"/>
      <c r="K33" s="58" t="s">
        <v>51</v>
      </c>
      <c r="L33" s="96"/>
      <c r="N33" s="63" t="str">
        <f>IF(AND(H33="",J33="",L33=""),"",IF(L33="",H33*J33,L33))</f>
        <v/>
      </c>
    </row>
    <row r="34" spans="2:14" x14ac:dyDescent="0.2">
      <c r="B34" s="6"/>
      <c r="D34" s="26" t="s">
        <v>71</v>
      </c>
      <c r="E34" s="139"/>
      <c r="F34" s="140"/>
      <c r="H34" s="97"/>
      <c r="I34" s="1" t="s">
        <v>61</v>
      </c>
      <c r="J34" s="100"/>
      <c r="K34" s="58" t="s">
        <v>51</v>
      </c>
      <c r="L34" s="97"/>
      <c r="N34" s="63" t="str">
        <f t="shared" ref="N34:N37" si="2">IF(AND(H34="",J34="",L34=""),"",IF(L34="",H34*J34,L34))</f>
        <v/>
      </c>
    </row>
    <row r="35" spans="2:14" x14ac:dyDescent="0.2">
      <c r="B35" s="6"/>
      <c r="D35" s="26" t="s">
        <v>71</v>
      </c>
      <c r="E35" s="139"/>
      <c r="F35" s="140"/>
      <c r="H35" s="97"/>
      <c r="I35" s="1" t="s">
        <v>61</v>
      </c>
      <c r="J35" s="100"/>
      <c r="K35" s="58" t="s">
        <v>51</v>
      </c>
      <c r="L35" s="97"/>
      <c r="N35" s="63" t="str">
        <f t="shared" si="2"/>
        <v/>
      </c>
    </row>
    <row r="36" spans="2:14" x14ac:dyDescent="0.2">
      <c r="B36" s="6"/>
      <c r="D36" s="26" t="s">
        <v>71</v>
      </c>
      <c r="E36" s="139"/>
      <c r="F36" s="140"/>
      <c r="H36" s="97"/>
      <c r="I36" s="1" t="s">
        <v>61</v>
      </c>
      <c r="J36" s="100"/>
      <c r="K36" s="58" t="s">
        <v>51</v>
      </c>
      <c r="L36" s="97"/>
      <c r="N36" s="63" t="str">
        <f t="shared" si="2"/>
        <v/>
      </c>
    </row>
    <row r="37" spans="2:14" ht="16" thickBot="1" x14ac:dyDescent="0.25">
      <c r="B37" s="6"/>
      <c r="D37" s="26" t="s">
        <v>71</v>
      </c>
      <c r="E37" s="141"/>
      <c r="F37" s="142"/>
      <c r="H37" s="98"/>
      <c r="I37" s="1" t="s">
        <v>61</v>
      </c>
      <c r="J37" s="101"/>
      <c r="K37" s="58" t="s">
        <v>51</v>
      </c>
      <c r="L37" s="98"/>
      <c r="N37" s="63" t="str">
        <f t="shared" si="2"/>
        <v/>
      </c>
    </row>
    <row r="38" spans="2:14" x14ac:dyDescent="0.2">
      <c r="B38" s="6"/>
      <c r="N38" s="63"/>
    </row>
    <row r="39" spans="2:14" x14ac:dyDescent="0.2">
      <c r="B39" s="136" t="s">
        <v>72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N39" s="63"/>
    </row>
    <row r="40" spans="2:14" ht="16" thickBot="1" x14ac:dyDescent="0.25">
      <c r="B40" s="6"/>
      <c r="N40" s="63"/>
    </row>
    <row r="41" spans="2:14" x14ac:dyDescent="0.2">
      <c r="B41" s="115" t="s">
        <v>73</v>
      </c>
      <c r="C41" s="26">
        <f ca="1">VLOOKUP(B41,'Worksheet Inputs (HIDE)'!$B$28:$I$39,2,FALSE)</f>
        <v>60</v>
      </c>
      <c r="D41" s="26" t="str">
        <f>VLOOKUP(B41,'Worksheet Inputs (HIDE)'!$B$28:$I$39,3,FALSE)</f>
        <v>gal</v>
      </c>
      <c r="E41" s="65">
        <f>VLOOKUP(B41,'Worksheet Inputs (HIDE)'!$B$28:$I$39,4,FALSE)</f>
        <v>0.42199999999999999</v>
      </c>
      <c r="F41" s="26">
        <f ca="1">IF(C41&lt;&gt;"",C41*E41,"")</f>
        <v>25.32</v>
      </c>
      <c r="H41" s="96"/>
      <c r="I41" s="1" t="s">
        <v>61</v>
      </c>
      <c r="J41" s="99"/>
      <c r="K41" s="58" t="s">
        <v>51</v>
      </c>
      <c r="L41" s="96"/>
      <c r="N41" s="63">
        <f t="shared" ca="1" si="0"/>
        <v>25.32</v>
      </c>
    </row>
    <row r="42" spans="2:14" x14ac:dyDescent="0.2">
      <c r="B42" s="115" t="s">
        <v>74</v>
      </c>
      <c r="C42" s="26">
        <f ca="1">VLOOKUP(B42,'Worksheet Inputs (HIDE)'!$B$28:$I$39,2,FALSE)</f>
        <v>17.71</v>
      </c>
      <c r="D42" s="26" t="str">
        <f>VLOOKUP(B42,'Worksheet Inputs (HIDE)'!$B$28:$I$39,3,FALSE)</f>
        <v>gal</v>
      </c>
      <c r="E42" s="65">
        <f>VLOOKUP(B42,'Worksheet Inputs (HIDE)'!$B$28:$I$39,4,FALSE)</f>
        <v>5</v>
      </c>
      <c r="F42" s="26">
        <f t="shared" ref="F42:F48" ca="1" si="3">IF(C42&lt;&gt;"",C42*E42,"")</f>
        <v>88.550000000000011</v>
      </c>
      <c r="H42" s="97"/>
      <c r="I42" s="1" t="s">
        <v>61</v>
      </c>
      <c r="J42" s="100"/>
      <c r="K42" s="58" t="s">
        <v>51</v>
      </c>
      <c r="L42" s="97"/>
      <c r="N42" s="63">
        <f t="shared" ca="1" si="0"/>
        <v>88.550000000000011</v>
      </c>
    </row>
    <row r="43" spans="2:14" x14ac:dyDescent="0.2">
      <c r="B43" s="115" t="s">
        <v>75</v>
      </c>
      <c r="C43" s="26">
        <f ca="1">VLOOKUP(B43,'Worksheet Inputs (HIDE)'!$B$28:$I$39,2,FALSE)</f>
        <v>475</v>
      </c>
      <c r="D43" s="26" t="str">
        <f>VLOOKUP(B43,'Worksheet Inputs (HIDE)'!$B$28:$I$39,3,FALSE)</f>
        <v>gal</v>
      </c>
      <c r="E43" s="65">
        <f>VLOOKUP(B43,'Worksheet Inputs (HIDE)'!$B$28:$I$39,4,FALSE)</f>
        <v>0.109</v>
      </c>
      <c r="F43" s="26">
        <f t="shared" ca="1" si="3"/>
        <v>51.774999999999999</v>
      </c>
      <c r="H43" s="97"/>
      <c r="I43" s="1" t="s">
        <v>61</v>
      </c>
      <c r="J43" s="100"/>
      <c r="K43" s="58" t="s">
        <v>51</v>
      </c>
      <c r="L43" s="97"/>
      <c r="N43" s="63">
        <f t="shared" ca="1" si="0"/>
        <v>51.774999999999999</v>
      </c>
    </row>
    <row r="44" spans="2:14" x14ac:dyDescent="0.2">
      <c r="B44" s="115" t="s">
        <v>69</v>
      </c>
      <c r="C44" s="26" t="str">
        <f>VLOOKUP(B44,'Worksheet Inputs (HIDE)'!$B$28:$I$39,2,FALSE)</f>
        <v/>
      </c>
      <c r="D44" s="26" t="str">
        <f>VLOOKUP(B44,'Worksheet Inputs (HIDE)'!$B$28:$I$39,3,FALSE)</f>
        <v/>
      </c>
      <c r="E44" s="65" t="str">
        <f>VLOOKUP(B44,'Worksheet Inputs (HIDE)'!$B$28:$I$39,4,FALSE)</f>
        <v/>
      </c>
      <c r="F44" s="26" t="str">
        <f t="shared" si="3"/>
        <v/>
      </c>
      <c r="H44" s="97"/>
      <c r="I44" s="1" t="s">
        <v>61</v>
      </c>
      <c r="J44" s="100"/>
      <c r="K44" s="58" t="s">
        <v>51</v>
      </c>
      <c r="L44" s="97"/>
      <c r="N44" s="63" t="str">
        <f t="shared" si="0"/>
        <v/>
      </c>
    </row>
    <row r="45" spans="2:14" x14ac:dyDescent="0.2">
      <c r="B45" s="115" t="s">
        <v>69</v>
      </c>
      <c r="C45" s="26" t="str">
        <f>VLOOKUP(B45,'Worksheet Inputs (HIDE)'!$B$28:$I$39,2,FALSE)</f>
        <v/>
      </c>
      <c r="D45" s="26" t="str">
        <f>VLOOKUP(B45,'Worksheet Inputs (HIDE)'!$B$28:$I$39,3,FALSE)</f>
        <v/>
      </c>
      <c r="E45" s="65" t="str">
        <f>VLOOKUP(B45,'Worksheet Inputs (HIDE)'!$B$28:$I$39,4,FALSE)</f>
        <v/>
      </c>
      <c r="F45" s="26" t="str">
        <f t="shared" si="3"/>
        <v/>
      </c>
      <c r="H45" s="97"/>
      <c r="I45" s="1" t="s">
        <v>61</v>
      </c>
      <c r="J45" s="100"/>
      <c r="K45" s="58" t="s">
        <v>51</v>
      </c>
      <c r="L45" s="97"/>
      <c r="N45" s="63" t="str">
        <f t="shared" si="0"/>
        <v/>
      </c>
    </row>
    <row r="46" spans="2:14" x14ac:dyDescent="0.2">
      <c r="B46" s="115" t="s">
        <v>69</v>
      </c>
      <c r="C46" s="26" t="str">
        <f>VLOOKUP(B46,'Worksheet Inputs (HIDE)'!$B$28:$I$39,2,FALSE)</f>
        <v/>
      </c>
      <c r="D46" s="26" t="str">
        <f>VLOOKUP(B46,'Worksheet Inputs (HIDE)'!$B$28:$I$39,3,FALSE)</f>
        <v/>
      </c>
      <c r="E46" s="65" t="str">
        <f>VLOOKUP(B46,'Worksheet Inputs (HIDE)'!$B$28:$I$39,4,FALSE)</f>
        <v/>
      </c>
      <c r="F46" s="26" t="str">
        <f t="shared" si="3"/>
        <v/>
      </c>
      <c r="H46" s="97"/>
      <c r="I46" s="1" t="s">
        <v>61</v>
      </c>
      <c r="J46" s="100"/>
      <c r="K46" s="58" t="s">
        <v>51</v>
      </c>
      <c r="L46" s="97"/>
      <c r="N46" s="63" t="str">
        <f t="shared" si="0"/>
        <v/>
      </c>
    </row>
    <row r="47" spans="2:14" x14ac:dyDescent="0.2">
      <c r="B47" s="115" t="s">
        <v>69</v>
      </c>
      <c r="C47" s="26" t="str">
        <f>VLOOKUP(B47,'Worksheet Inputs (HIDE)'!$B$28:$I$39,2,FALSE)</f>
        <v/>
      </c>
      <c r="D47" s="26" t="str">
        <f>VLOOKUP(B47,'Worksheet Inputs (HIDE)'!$B$28:$I$39,3,FALSE)</f>
        <v/>
      </c>
      <c r="E47" s="65" t="str">
        <f>VLOOKUP(B47,'Worksheet Inputs (HIDE)'!$B$28:$I$39,4,FALSE)</f>
        <v/>
      </c>
      <c r="F47" s="26" t="str">
        <f t="shared" si="3"/>
        <v/>
      </c>
      <c r="H47" s="97"/>
      <c r="I47" s="1" t="s">
        <v>61</v>
      </c>
      <c r="J47" s="100"/>
      <c r="K47" s="58" t="s">
        <v>51</v>
      </c>
      <c r="L47" s="97"/>
      <c r="N47" s="63" t="str">
        <f t="shared" si="0"/>
        <v/>
      </c>
    </row>
    <row r="48" spans="2:14" ht="16" thickBot="1" x14ac:dyDescent="0.25">
      <c r="B48" s="115" t="s">
        <v>69</v>
      </c>
      <c r="C48" s="26" t="str">
        <f>VLOOKUP(B48,'Worksheet Inputs (HIDE)'!$B$28:$I$39,2,FALSE)</f>
        <v/>
      </c>
      <c r="D48" s="26" t="str">
        <f>VLOOKUP(B48,'Worksheet Inputs (HIDE)'!$B$28:$I$39,3,FALSE)</f>
        <v/>
      </c>
      <c r="E48" s="65" t="str">
        <f>VLOOKUP(B48,'Worksheet Inputs (HIDE)'!$B$28:$I$39,4,FALSE)</f>
        <v/>
      </c>
      <c r="F48" s="26" t="str">
        <f t="shared" si="3"/>
        <v/>
      </c>
      <c r="H48" s="98"/>
      <c r="I48" s="1" t="s">
        <v>61</v>
      </c>
      <c r="J48" s="101"/>
      <c r="K48" s="58" t="s">
        <v>51</v>
      </c>
      <c r="L48" s="98"/>
      <c r="N48" s="63" t="str">
        <f t="shared" si="0"/>
        <v/>
      </c>
    </row>
    <row r="49" spans="2:14" ht="16" thickBot="1" x14ac:dyDescent="0.25">
      <c r="B49" s="6"/>
      <c r="D49" s="26"/>
      <c r="E49" s="128" t="s">
        <v>76</v>
      </c>
      <c r="F49" s="128"/>
      <c r="K49" s="58"/>
      <c r="N49" s="63"/>
    </row>
    <row r="50" spans="2:14" x14ac:dyDescent="0.2">
      <c r="B50" s="6"/>
      <c r="D50" s="26" t="s">
        <v>71</v>
      </c>
      <c r="E50" s="137"/>
      <c r="F50" s="138"/>
      <c r="H50" s="96"/>
      <c r="I50" s="1" t="s">
        <v>61</v>
      </c>
      <c r="J50" s="99"/>
      <c r="K50" s="58" t="s">
        <v>51</v>
      </c>
      <c r="L50" s="96"/>
      <c r="N50" s="63" t="str">
        <f>IF(AND(H50="",J50="",L50=""),"",IF(L50="",H50*J50,L50))</f>
        <v/>
      </c>
    </row>
    <row r="51" spans="2:14" x14ac:dyDescent="0.2">
      <c r="B51" s="6"/>
      <c r="D51" s="26" t="s">
        <v>71</v>
      </c>
      <c r="E51" s="139"/>
      <c r="F51" s="140"/>
      <c r="H51" s="97"/>
      <c r="I51" s="1" t="s">
        <v>61</v>
      </c>
      <c r="J51" s="100"/>
      <c r="K51" s="58" t="s">
        <v>51</v>
      </c>
      <c r="L51" s="97"/>
      <c r="N51" s="63" t="str">
        <f t="shared" ref="N51:N54" si="4">IF(AND(H51="",J51="",L51=""),"",IF(L51="",H51*J51,L51))</f>
        <v/>
      </c>
    </row>
    <row r="52" spans="2:14" x14ac:dyDescent="0.2">
      <c r="B52" s="6"/>
      <c r="D52" s="26" t="s">
        <v>71</v>
      </c>
      <c r="E52" s="139"/>
      <c r="F52" s="140"/>
      <c r="H52" s="97"/>
      <c r="I52" s="1" t="s">
        <v>61</v>
      </c>
      <c r="J52" s="100"/>
      <c r="K52" s="58" t="s">
        <v>51</v>
      </c>
      <c r="L52" s="97"/>
      <c r="N52" s="63" t="str">
        <f t="shared" si="4"/>
        <v/>
      </c>
    </row>
    <row r="53" spans="2:14" x14ac:dyDescent="0.2">
      <c r="B53" s="6"/>
      <c r="D53" s="26" t="s">
        <v>71</v>
      </c>
      <c r="E53" s="139"/>
      <c r="F53" s="140"/>
      <c r="H53" s="97"/>
      <c r="I53" s="1" t="s">
        <v>61</v>
      </c>
      <c r="J53" s="100"/>
      <c r="K53" s="58" t="s">
        <v>51</v>
      </c>
      <c r="L53" s="97"/>
      <c r="N53" s="63" t="str">
        <f t="shared" si="4"/>
        <v/>
      </c>
    </row>
    <row r="54" spans="2:14" ht="16" thickBot="1" x14ac:dyDescent="0.25">
      <c r="B54" s="6"/>
      <c r="D54" s="26" t="s">
        <v>71</v>
      </c>
      <c r="E54" s="141"/>
      <c r="F54" s="142"/>
      <c r="H54" s="98"/>
      <c r="I54" s="1" t="s">
        <v>61</v>
      </c>
      <c r="J54" s="101"/>
      <c r="K54" s="58" t="s">
        <v>51</v>
      </c>
      <c r="L54" s="98"/>
      <c r="N54" s="63" t="str">
        <f t="shared" si="4"/>
        <v/>
      </c>
    </row>
    <row r="55" spans="2:14" x14ac:dyDescent="0.2">
      <c r="B55" s="6"/>
      <c r="F55" s="26" t="str">
        <f t="shared" ref="F55" si="5">IF(C55&lt;&gt;0,C55*E55,"")</f>
        <v/>
      </c>
      <c r="N55" s="63" t="str">
        <f t="shared" si="0"/>
        <v/>
      </c>
    </row>
    <row r="56" spans="2:14" x14ac:dyDescent="0.2">
      <c r="B56" s="136" t="s">
        <v>77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N56" s="63"/>
    </row>
    <row r="57" spans="2:14" x14ac:dyDescent="0.2">
      <c r="B57" s="62"/>
      <c r="C57" s="2"/>
      <c r="D57" s="2"/>
      <c r="E57" s="2"/>
      <c r="F57" s="2"/>
      <c r="G57" s="2"/>
      <c r="H57" s="79"/>
      <c r="I57" s="2"/>
      <c r="J57" s="2"/>
      <c r="K57" s="2"/>
      <c r="L57" s="79"/>
      <c r="N57" s="63"/>
    </row>
    <row r="58" spans="2:14" x14ac:dyDescent="0.2">
      <c r="B58" s="6"/>
      <c r="H58" s="135" t="s">
        <v>50</v>
      </c>
      <c r="I58" s="135"/>
      <c r="J58" s="135"/>
      <c r="K58" s="58" t="s">
        <v>51</v>
      </c>
      <c r="L58" s="80" t="s">
        <v>52</v>
      </c>
      <c r="N58" s="63"/>
    </row>
    <row r="59" spans="2:14" x14ac:dyDescent="0.2">
      <c r="B59" s="61" t="s">
        <v>53</v>
      </c>
      <c r="C59" s="56" t="s">
        <v>78</v>
      </c>
      <c r="D59" s="35" t="s">
        <v>79</v>
      </c>
      <c r="E59" s="67" t="s">
        <v>80</v>
      </c>
      <c r="F59" s="67" t="s">
        <v>57</v>
      </c>
      <c r="G59" s="35"/>
      <c r="H59" s="56" t="s">
        <v>58</v>
      </c>
      <c r="I59" s="35"/>
      <c r="J59" s="35" t="s">
        <v>56</v>
      </c>
      <c r="K59" s="57" t="s">
        <v>51</v>
      </c>
      <c r="L59" s="56" t="s">
        <v>57</v>
      </c>
      <c r="N59" s="63"/>
    </row>
    <row r="60" spans="2:14" ht="16" thickBot="1" x14ac:dyDescent="0.25">
      <c r="B60" s="28"/>
      <c r="D60" s="26"/>
      <c r="E60" s="26"/>
      <c r="F60" s="65"/>
      <c r="H60" s="37"/>
      <c r="J60" s="27"/>
      <c r="K60" s="58"/>
      <c r="L60" s="37"/>
      <c r="N60" s="63"/>
    </row>
    <row r="61" spans="2:14" x14ac:dyDescent="0.2">
      <c r="B61" s="115" t="s">
        <v>81</v>
      </c>
      <c r="C61" s="50">
        <f>VLOOKUP(B61,'Worksheet Inputs (HIDE)'!$B$44:$F$51,2,FALSE)</f>
        <v>15.757262510602205</v>
      </c>
      <c r="D61" s="26">
        <f>VLOOKUP(B61,'Worksheet Inputs (HIDE)'!$B$44:$F$51,3,FALSE)</f>
        <v>18.120851887192536</v>
      </c>
      <c r="E61" s="65">
        <f>VLOOKUP(B61,'Worksheet Inputs (HIDE)'!$B$44:$F$51,4,FALSE)</f>
        <v>1.74</v>
      </c>
      <c r="F61" s="26">
        <f>IF(D61&lt;&gt;"",D61*E61,"")</f>
        <v>31.530282283715014</v>
      </c>
      <c r="H61" s="96"/>
      <c r="I61" s="1" t="s">
        <v>61</v>
      </c>
      <c r="J61" s="99"/>
      <c r="K61" s="58" t="s">
        <v>51</v>
      </c>
      <c r="L61" s="96"/>
      <c r="N61" s="63">
        <f t="shared" ref="N61:N77" si="6">IF(AND(H61="",J61="",L61=""),F61,IF(L61="",IF(H61="",C61,H61)*IF(J61="",E61,J61),L61))</f>
        <v>31.530282283715014</v>
      </c>
    </row>
    <row r="62" spans="2:14" x14ac:dyDescent="0.2">
      <c r="B62" s="115" t="s">
        <v>82</v>
      </c>
      <c r="C62" s="50">
        <f>VLOOKUP(B62,'Worksheet Inputs (HIDE)'!$B$44:$F$51,2,FALSE)</f>
        <v>20.882790957245149</v>
      </c>
      <c r="D62" s="26">
        <f>VLOOKUP(B62,'Worksheet Inputs (HIDE)'!$B$44:$F$51,3,FALSE)</f>
        <v>24.01520960083192</v>
      </c>
      <c r="E62" s="65">
        <f>VLOOKUP(B62,'Worksheet Inputs (HIDE)'!$B$44:$F$51,4,FALSE)</f>
        <v>2.88</v>
      </c>
      <c r="F62" s="26">
        <f t="shared" ref="F62:F70" si="7">IF(D62&lt;&gt;"",D62*E62,"")</f>
        <v>69.16380365039592</v>
      </c>
      <c r="H62" s="97"/>
      <c r="I62" s="1" t="s">
        <v>61</v>
      </c>
      <c r="J62" s="100"/>
      <c r="K62" s="58" t="s">
        <v>51</v>
      </c>
      <c r="L62" s="97"/>
      <c r="N62" s="63">
        <f t="shared" si="6"/>
        <v>69.16380365039592</v>
      </c>
    </row>
    <row r="63" spans="2:14" x14ac:dyDescent="0.2">
      <c r="B63" s="115" t="s">
        <v>83</v>
      </c>
      <c r="C63" s="50">
        <f>VLOOKUP(B63,'Worksheet Inputs (HIDE)'!$B$44:$F$51,2,FALSE)</f>
        <v>19.059351187003358</v>
      </c>
      <c r="D63" s="26">
        <f>VLOOKUP(B63,'Worksheet Inputs (HIDE)'!$B$44:$F$51,3,FALSE)</f>
        <v>24.777156543104365</v>
      </c>
      <c r="E63" s="65">
        <f>VLOOKUP(B63,'Worksheet Inputs (HIDE)'!$B$44:$F$51,4,FALSE)</f>
        <v>1.4</v>
      </c>
      <c r="F63" s="26">
        <f t="shared" si="7"/>
        <v>34.688019160346109</v>
      </c>
      <c r="H63" s="97"/>
      <c r="I63" s="1" t="s">
        <v>61</v>
      </c>
      <c r="J63" s="100"/>
      <c r="K63" s="58" t="s">
        <v>51</v>
      </c>
      <c r="L63" s="97"/>
      <c r="N63" s="63">
        <f t="shared" si="6"/>
        <v>34.688019160346109</v>
      </c>
    </row>
    <row r="64" spans="2:14" x14ac:dyDescent="0.2">
      <c r="B64" s="115" t="s">
        <v>84</v>
      </c>
      <c r="C64" s="50">
        <f>VLOOKUP(B64,'Worksheet Inputs (HIDE)'!$B$44:$F$51,2,FALSE)</f>
        <v>17.848789172405709</v>
      </c>
      <c r="D64" s="26">
        <f>VLOOKUP(B64,'Worksheet Inputs (HIDE)'!$B$44:$F$51,3,FALSE)</f>
        <v>22.310986465507135</v>
      </c>
      <c r="E64" s="65">
        <f>VLOOKUP(B64,'Worksheet Inputs (HIDE)'!$B$44:$F$51,4,FALSE)</f>
        <v>3.42</v>
      </c>
      <c r="F64" s="26">
        <f t="shared" si="7"/>
        <v>76.303573712034392</v>
      </c>
      <c r="H64" s="97"/>
      <c r="I64" s="1" t="s">
        <v>61</v>
      </c>
      <c r="J64" s="100"/>
      <c r="K64" s="58" t="s">
        <v>51</v>
      </c>
      <c r="L64" s="97"/>
      <c r="N64" s="63">
        <f t="shared" si="6"/>
        <v>76.303573712034392</v>
      </c>
    </row>
    <row r="65" spans="2:14" x14ac:dyDescent="0.2">
      <c r="B65" s="115" t="s">
        <v>69</v>
      </c>
      <c r="C65" s="50" t="str">
        <f>VLOOKUP(B65,'Worksheet Inputs (HIDE)'!$B$44:$F$51,2,FALSE)</f>
        <v/>
      </c>
      <c r="D65" s="26" t="str">
        <f>VLOOKUP(B65,'Worksheet Inputs (HIDE)'!$B$44:$F$51,3,FALSE)</f>
        <v/>
      </c>
      <c r="E65" s="65" t="str">
        <f>VLOOKUP(B65,'Worksheet Inputs (HIDE)'!$B$44:$F$51,4,FALSE)</f>
        <v/>
      </c>
      <c r="F65" s="26" t="str">
        <f t="shared" si="7"/>
        <v/>
      </c>
      <c r="H65" s="97"/>
      <c r="I65" s="1" t="s">
        <v>61</v>
      </c>
      <c r="J65" s="100"/>
      <c r="K65" s="58" t="s">
        <v>51</v>
      </c>
      <c r="L65" s="97"/>
      <c r="N65" s="63" t="str">
        <f t="shared" si="6"/>
        <v/>
      </c>
    </row>
    <row r="66" spans="2:14" x14ac:dyDescent="0.2">
      <c r="B66" s="115" t="s">
        <v>69</v>
      </c>
      <c r="C66" s="50" t="str">
        <f>VLOOKUP(B66,'Worksheet Inputs (HIDE)'!$B$44:$F$51,2,FALSE)</f>
        <v/>
      </c>
      <c r="D66" s="26" t="str">
        <f>VLOOKUP(B66,'Worksheet Inputs (HIDE)'!$B$44:$F$51,3,FALSE)</f>
        <v/>
      </c>
      <c r="E66" s="26" t="str">
        <f>VLOOKUP(B66,'Worksheet Inputs (HIDE)'!$B$44:$F$51,4,FALSE)</f>
        <v/>
      </c>
      <c r="F66" s="26" t="str">
        <f t="shared" si="7"/>
        <v/>
      </c>
      <c r="H66" s="97"/>
      <c r="I66" s="1" t="s">
        <v>61</v>
      </c>
      <c r="J66" s="100"/>
      <c r="K66" s="58" t="s">
        <v>51</v>
      </c>
      <c r="L66" s="97"/>
      <c r="N66" s="63" t="str">
        <f t="shared" si="6"/>
        <v/>
      </c>
    </row>
    <row r="67" spans="2:14" x14ac:dyDescent="0.2">
      <c r="B67" s="115" t="s">
        <v>69</v>
      </c>
      <c r="C67" s="50" t="str">
        <f>VLOOKUP(B67,'Worksheet Inputs (HIDE)'!$B$44:$F$51,2,FALSE)</f>
        <v/>
      </c>
      <c r="D67" s="26" t="str">
        <f>VLOOKUP(B67,'Worksheet Inputs (HIDE)'!$B$44:$F$51,3,FALSE)</f>
        <v/>
      </c>
      <c r="E67" s="26" t="str">
        <f>VLOOKUP(B67,'Worksheet Inputs (HIDE)'!$B$44:$F$51,4,FALSE)</f>
        <v/>
      </c>
      <c r="F67" s="26" t="str">
        <f t="shared" si="7"/>
        <v/>
      </c>
      <c r="H67" s="97"/>
      <c r="I67" s="1" t="s">
        <v>61</v>
      </c>
      <c r="J67" s="100"/>
      <c r="K67" s="58" t="s">
        <v>51</v>
      </c>
      <c r="L67" s="97"/>
      <c r="N67" s="63" t="str">
        <f t="shared" si="6"/>
        <v/>
      </c>
    </row>
    <row r="68" spans="2:14" x14ac:dyDescent="0.2">
      <c r="B68" s="115" t="s">
        <v>69</v>
      </c>
      <c r="C68" s="50" t="str">
        <f>VLOOKUP(B68,'Worksheet Inputs (HIDE)'!$B$44:$F$51,2,FALSE)</f>
        <v/>
      </c>
      <c r="D68" s="26" t="str">
        <f>VLOOKUP(B68,'Worksheet Inputs (HIDE)'!$B$44:$F$51,3,FALSE)</f>
        <v/>
      </c>
      <c r="E68" s="26" t="str">
        <f>VLOOKUP(B68,'Worksheet Inputs (HIDE)'!$B$44:$F$51,4,FALSE)</f>
        <v/>
      </c>
      <c r="F68" s="26" t="str">
        <f t="shared" si="7"/>
        <v/>
      </c>
      <c r="H68" s="97"/>
      <c r="I68" s="1" t="s">
        <v>61</v>
      </c>
      <c r="J68" s="100"/>
      <c r="K68" s="58" t="s">
        <v>51</v>
      </c>
      <c r="L68" s="97"/>
      <c r="N68" s="63" t="str">
        <f t="shared" si="6"/>
        <v/>
      </c>
    </row>
    <row r="69" spans="2:14" x14ac:dyDescent="0.2">
      <c r="B69" s="115" t="s">
        <v>69</v>
      </c>
      <c r="C69" s="50" t="str">
        <f>VLOOKUP(B69,'Worksheet Inputs (HIDE)'!$B$44:$F$51,2,FALSE)</f>
        <v/>
      </c>
      <c r="D69" s="26" t="str">
        <f>VLOOKUP(B69,'Worksheet Inputs (HIDE)'!$B$44:$F$51,3,FALSE)</f>
        <v/>
      </c>
      <c r="E69" s="26" t="str">
        <f>VLOOKUP(B69,'Worksheet Inputs (HIDE)'!$B$44:$F$51,4,FALSE)</f>
        <v/>
      </c>
      <c r="F69" s="26" t="str">
        <f t="shared" si="7"/>
        <v/>
      </c>
      <c r="H69" s="97"/>
      <c r="I69" s="1" t="s">
        <v>61</v>
      </c>
      <c r="J69" s="100"/>
      <c r="K69" s="58" t="s">
        <v>51</v>
      </c>
      <c r="L69" s="97"/>
      <c r="N69" s="63" t="str">
        <f t="shared" si="6"/>
        <v/>
      </c>
    </row>
    <row r="70" spans="2:14" ht="16" thickBot="1" x14ac:dyDescent="0.25">
      <c r="B70" s="115" t="s">
        <v>69</v>
      </c>
      <c r="C70" s="50" t="str">
        <f>VLOOKUP(B70,'Worksheet Inputs (HIDE)'!$B$44:$F$51,2,FALSE)</f>
        <v/>
      </c>
      <c r="D70" s="26" t="str">
        <f>VLOOKUP(B70,'Worksheet Inputs (HIDE)'!$B$44:$F$51,3,FALSE)</f>
        <v/>
      </c>
      <c r="E70" s="26" t="str">
        <f>VLOOKUP(B70,'Worksheet Inputs (HIDE)'!$B$44:$F$51,4,FALSE)</f>
        <v/>
      </c>
      <c r="F70" s="26" t="str">
        <f t="shared" si="7"/>
        <v/>
      </c>
      <c r="H70" s="98"/>
      <c r="I70" s="1" t="s">
        <v>61</v>
      </c>
      <c r="J70" s="101"/>
      <c r="K70" s="58" t="s">
        <v>51</v>
      </c>
      <c r="L70" s="98"/>
      <c r="N70" s="63" t="str">
        <f t="shared" si="6"/>
        <v/>
      </c>
    </row>
    <row r="71" spans="2:14" ht="16" thickBot="1" x14ac:dyDescent="0.25">
      <c r="B71" s="6"/>
      <c r="C71" s="50"/>
      <c r="D71" s="26"/>
      <c r="E71" s="128" t="s">
        <v>85</v>
      </c>
      <c r="F71" s="128"/>
      <c r="K71" s="58"/>
      <c r="N71" s="63"/>
    </row>
    <row r="72" spans="2:14" x14ac:dyDescent="0.2">
      <c r="B72" s="6"/>
      <c r="C72" s="50"/>
      <c r="D72" s="26" t="s">
        <v>71</v>
      </c>
      <c r="E72" s="137"/>
      <c r="F72" s="138"/>
      <c r="H72" s="96"/>
      <c r="I72" s="1" t="s">
        <v>61</v>
      </c>
      <c r="J72" s="99"/>
      <c r="K72" s="58" t="s">
        <v>51</v>
      </c>
      <c r="L72" s="96"/>
      <c r="N72" s="63" t="str">
        <f>IF(AND(H72="",J72="",L72=""),"",IF(L72="",H72*J72,L72))</f>
        <v/>
      </c>
    </row>
    <row r="73" spans="2:14" x14ac:dyDescent="0.2">
      <c r="B73" s="6"/>
      <c r="C73" s="50"/>
      <c r="D73" s="26" t="s">
        <v>71</v>
      </c>
      <c r="E73" s="139"/>
      <c r="F73" s="140"/>
      <c r="H73" s="97"/>
      <c r="I73" s="1" t="s">
        <v>61</v>
      </c>
      <c r="J73" s="100"/>
      <c r="K73" s="58" t="s">
        <v>51</v>
      </c>
      <c r="L73" s="97"/>
      <c r="N73" s="63" t="str">
        <f t="shared" ref="N73:N76" si="8">IF(AND(H73="",J73="",L73=""),"",IF(L73="",H73*J73,L73))</f>
        <v/>
      </c>
    </row>
    <row r="74" spans="2:14" x14ac:dyDescent="0.2">
      <c r="B74" s="6"/>
      <c r="C74" s="50"/>
      <c r="D74" s="26" t="s">
        <v>71</v>
      </c>
      <c r="E74" s="139"/>
      <c r="F74" s="140"/>
      <c r="H74" s="97"/>
      <c r="I74" s="1" t="s">
        <v>61</v>
      </c>
      <c r="J74" s="100"/>
      <c r="K74" s="58" t="s">
        <v>51</v>
      </c>
      <c r="L74" s="97"/>
      <c r="N74" s="63" t="str">
        <f t="shared" si="8"/>
        <v/>
      </c>
    </row>
    <row r="75" spans="2:14" x14ac:dyDescent="0.2">
      <c r="B75" s="6"/>
      <c r="C75" s="50"/>
      <c r="D75" s="26" t="s">
        <v>71</v>
      </c>
      <c r="E75" s="139"/>
      <c r="F75" s="140"/>
      <c r="H75" s="97"/>
      <c r="I75" s="1" t="s">
        <v>61</v>
      </c>
      <c r="J75" s="100"/>
      <c r="K75" s="58" t="s">
        <v>51</v>
      </c>
      <c r="L75" s="97"/>
      <c r="N75" s="63" t="str">
        <f t="shared" si="8"/>
        <v/>
      </c>
    </row>
    <row r="76" spans="2:14" ht="16" thickBot="1" x14ac:dyDescent="0.25">
      <c r="B76" s="6"/>
      <c r="C76" s="50"/>
      <c r="D76" s="26" t="s">
        <v>71</v>
      </c>
      <c r="E76" s="141"/>
      <c r="F76" s="142"/>
      <c r="H76" s="98"/>
      <c r="I76" s="1" t="s">
        <v>61</v>
      </c>
      <c r="J76" s="101"/>
      <c r="K76" s="58" t="s">
        <v>51</v>
      </c>
      <c r="L76" s="98"/>
      <c r="N76" s="63" t="str">
        <f t="shared" si="8"/>
        <v/>
      </c>
    </row>
    <row r="77" spans="2:14" x14ac:dyDescent="0.2">
      <c r="B77" s="6"/>
      <c r="D77" s="5"/>
      <c r="E77" s="26"/>
      <c r="F77" s="65" t="str">
        <f>IF(C77&lt;&gt;0,C162*E77,"")</f>
        <v/>
      </c>
      <c r="N77" s="63" t="str">
        <f t="shared" si="6"/>
        <v/>
      </c>
    </row>
    <row r="78" spans="2:14" x14ac:dyDescent="0.2">
      <c r="B78" s="136" t="s">
        <v>86</v>
      </c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N78" s="63"/>
    </row>
    <row r="79" spans="2:14" x14ac:dyDescent="0.2">
      <c r="B79" s="6"/>
      <c r="N79" s="63"/>
    </row>
    <row r="80" spans="2:14" x14ac:dyDescent="0.2">
      <c r="B80" s="6"/>
      <c r="H80" s="135" t="s">
        <v>50</v>
      </c>
      <c r="I80" s="135"/>
      <c r="J80" s="135"/>
      <c r="K80" s="58" t="s">
        <v>51</v>
      </c>
      <c r="L80" s="80" t="s">
        <v>52</v>
      </c>
      <c r="N80" s="63"/>
    </row>
    <row r="81" spans="2:14" x14ac:dyDescent="0.2">
      <c r="B81" s="61" t="s">
        <v>53</v>
      </c>
      <c r="C81" s="56" t="s">
        <v>54</v>
      </c>
      <c r="D81" s="35" t="s">
        <v>87</v>
      </c>
      <c r="E81" s="67" t="s">
        <v>88</v>
      </c>
      <c r="F81" s="67" t="s">
        <v>57</v>
      </c>
      <c r="G81" s="35"/>
      <c r="H81" s="56" t="s">
        <v>58</v>
      </c>
      <c r="I81" s="35"/>
      <c r="J81" s="35" t="s">
        <v>56</v>
      </c>
      <c r="K81" s="57" t="s">
        <v>51</v>
      </c>
      <c r="L81" s="56" t="s">
        <v>57</v>
      </c>
      <c r="N81" s="63"/>
    </row>
    <row r="82" spans="2:14" ht="16" thickBot="1" x14ac:dyDescent="0.25">
      <c r="B82" s="6"/>
      <c r="N82" s="63"/>
    </row>
    <row r="83" spans="2:14" x14ac:dyDescent="0.2">
      <c r="B83" s="115" t="s">
        <v>89</v>
      </c>
      <c r="C83" s="26">
        <f ca="1">VLOOKUP(B83,'Worksheet Inputs (HIDE)'!$B$56:$I$61,2,FALSE)</f>
        <v>6.57</v>
      </c>
      <c r="D83" s="26" t="str">
        <f>VLOOKUP(B83,'Worksheet Inputs (HIDE)'!$B$56:$I$61,3,FALSE)</f>
        <v>kWh</v>
      </c>
      <c r="E83" s="65">
        <f>VLOOKUP(B83,'Worksheet Inputs (HIDE)'!$B$56:$I$61,4,FALSE)</f>
        <v>17.399999999999999</v>
      </c>
      <c r="F83" s="26">
        <f ca="1">IF(C83&lt;&gt;"",C83*E83,"")</f>
        <v>114.318</v>
      </c>
      <c r="H83" s="96"/>
      <c r="I83" s="1" t="s">
        <v>61</v>
      </c>
      <c r="J83" s="99"/>
      <c r="K83" s="58" t="s">
        <v>51</v>
      </c>
      <c r="L83" s="96"/>
      <c r="N83" s="63">
        <f t="shared" ref="N83:N88" ca="1" si="9">IF(AND(H83="",J83="",L83=""),F83,IF(L83="",IF(H83="",C83,H83)*IF(J83="",E83,J83),L83))</f>
        <v>114.318</v>
      </c>
    </row>
    <row r="84" spans="2:14" x14ac:dyDescent="0.2">
      <c r="B84" s="115" t="s">
        <v>90</v>
      </c>
      <c r="C84" s="26">
        <f ca="1">VLOOKUP(B84,'Worksheet Inputs (HIDE)'!$B$56:$I$61,2,FALSE)</f>
        <v>64.92</v>
      </c>
      <c r="D84" s="26" t="str">
        <f>VLOOKUP(B84,'Worksheet Inputs (HIDE)'!$B$56:$I$61,3,FALSE)</f>
        <v>Acre</v>
      </c>
      <c r="E84" s="65">
        <f>VLOOKUP(B84,'Worksheet Inputs (HIDE)'!$B$56:$I$61,4,FALSE)</f>
        <v>1</v>
      </c>
      <c r="F84" s="26">
        <f t="shared" ref="F84:F88" ca="1" si="10">IF(C84&lt;&gt;"",C84*E84,"")</f>
        <v>64.92</v>
      </c>
      <c r="H84" s="97"/>
      <c r="I84" s="1" t="s">
        <v>61</v>
      </c>
      <c r="J84" s="100"/>
      <c r="K84" s="58" t="s">
        <v>51</v>
      </c>
      <c r="L84" s="97"/>
      <c r="N84" s="63">
        <f t="shared" ca="1" si="9"/>
        <v>64.92</v>
      </c>
    </row>
    <row r="85" spans="2:14" x14ac:dyDescent="0.2">
      <c r="B85" s="115" t="s">
        <v>91</v>
      </c>
      <c r="C85" s="26">
        <f ca="1">VLOOKUP(B85,'Worksheet Inputs (HIDE)'!$B$56:$I$61,2,FALSE)</f>
        <v>20</v>
      </c>
      <c r="D85" s="26" t="str">
        <f>VLOOKUP(B85,'Worksheet Inputs (HIDE)'!$B$56:$I$61,3,FALSE)</f>
        <v>Acre</v>
      </c>
      <c r="E85" s="65">
        <f>VLOOKUP(B85,'Worksheet Inputs (HIDE)'!$B$56:$I$61,4,FALSE)</f>
        <v>1</v>
      </c>
      <c r="F85" s="26">
        <f t="shared" ca="1" si="10"/>
        <v>20</v>
      </c>
      <c r="H85" s="97"/>
      <c r="I85" s="1" t="s">
        <v>61</v>
      </c>
      <c r="J85" s="100"/>
      <c r="K85" s="58" t="s">
        <v>51</v>
      </c>
      <c r="L85" s="97"/>
      <c r="N85" s="63">
        <f t="shared" ca="1" si="9"/>
        <v>20</v>
      </c>
    </row>
    <row r="86" spans="2:14" x14ac:dyDescent="0.2">
      <c r="B86" s="115" t="s">
        <v>69</v>
      </c>
      <c r="C86" s="26" t="str">
        <f>VLOOKUP(B86,'Worksheet Inputs (HIDE)'!$B$56:$I$61,2,FALSE)</f>
        <v/>
      </c>
      <c r="D86" s="26" t="str">
        <f>VLOOKUP(B86,'Worksheet Inputs (HIDE)'!$B$56:$I$61,3,FALSE)</f>
        <v/>
      </c>
      <c r="E86" s="65" t="str">
        <f>VLOOKUP(B86,'Worksheet Inputs (HIDE)'!$B$56:$I$61,4,FALSE)</f>
        <v/>
      </c>
      <c r="F86" s="26" t="str">
        <f t="shared" si="10"/>
        <v/>
      </c>
      <c r="H86" s="97"/>
      <c r="I86" s="1" t="s">
        <v>61</v>
      </c>
      <c r="J86" s="100"/>
      <c r="K86" s="58" t="s">
        <v>51</v>
      </c>
      <c r="L86" s="97"/>
      <c r="N86" s="63" t="str">
        <f t="shared" si="9"/>
        <v/>
      </c>
    </row>
    <row r="87" spans="2:14" x14ac:dyDescent="0.2">
      <c r="B87" s="115" t="s">
        <v>69</v>
      </c>
      <c r="C87" s="26" t="str">
        <f>VLOOKUP(B87,'Worksheet Inputs (HIDE)'!$B$56:$I$61,2,FALSE)</f>
        <v/>
      </c>
      <c r="D87" s="26" t="str">
        <f>VLOOKUP(B87,'Worksheet Inputs (HIDE)'!$B$56:$I$61,3,FALSE)</f>
        <v/>
      </c>
      <c r="E87" s="65" t="str">
        <f>VLOOKUP(B87,'Worksheet Inputs (HIDE)'!$B$56:$I$61,4,FALSE)</f>
        <v/>
      </c>
      <c r="F87" s="26" t="str">
        <f t="shared" si="10"/>
        <v/>
      </c>
      <c r="H87" s="97"/>
      <c r="I87" s="1" t="s">
        <v>61</v>
      </c>
      <c r="J87" s="100"/>
      <c r="K87" s="58" t="s">
        <v>51</v>
      </c>
      <c r="L87" s="97"/>
      <c r="N87" s="63" t="str">
        <f t="shared" si="9"/>
        <v/>
      </c>
    </row>
    <row r="88" spans="2:14" ht="16" thickBot="1" x14ac:dyDescent="0.25">
      <c r="B88" s="115" t="s">
        <v>69</v>
      </c>
      <c r="C88" s="26" t="str">
        <f>VLOOKUP(B88,'Worksheet Inputs (HIDE)'!$B$56:$I$61,2,FALSE)</f>
        <v/>
      </c>
      <c r="D88" s="26" t="str">
        <f>VLOOKUP(B88,'Worksheet Inputs (HIDE)'!$B$56:$I$61,3,FALSE)</f>
        <v/>
      </c>
      <c r="E88" s="65" t="str">
        <f>VLOOKUP(B88,'Worksheet Inputs (HIDE)'!$B$56:$I$61,4,FALSE)</f>
        <v/>
      </c>
      <c r="F88" s="26" t="str">
        <f t="shared" si="10"/>
        <v/>
      </c>
      <c r="H88" s="98"/>
      <c r="I88" s="1" t="s">
        <v>61</v>
      </c>
      <c r="J88" s="101"/>
      <c r="K88" s="58" t="s">
        <v>51</v>
      </c>
      <c r="L88" s="98"/>
      <c r="N88" s="63" t="str">
        <f t="shared" si="9"/>
        <v/>
      </c>
    </row>
    <row r="89" spans="2:14" ht="16" thickBot="1" x14ac:dyDescent="0.25">
      <c r="B89" s="6"/>
      <c r="E89" s="128" t="s">
        <v>92</v>
      </c>
      <c r="F89" s="128"/>
      <c r="K89" s="58"/>
      <c r="N89" s="63"/>
    </row>
    <row r="90" spans="2:14" x14ac:dyDescent="0.2">
      <c r="B90" s="6"/>
      <c r="D90" s="26" t="s">
        <v>71</v>
      </c>
      <c r="E90" s="137"/>
      <c r="F90" s="138"/>
      <c r="H90" s="96"/>
      <c r="I90" s="1" t="s">
        <v>61</v>
      </c>
      <c r="J90" s="99"/>
      <c r="K90" s="58" t="s">
        <v>51</v>
      </c>
      <c r="L90" s="96"/>
      <c r="N90" s="63" t="str">
        <f>IF(AND(H90="",J90="",L90=""),"",IF(L90="",H90*J90,L90))</f>
        <v/>
      </c>
    </row>
    <row r="91" spans="2:14" x14ac:dyDescent="0.2">
      <c r="B91" s="6"/>
      <c r="D91" s="26" t="s">
        <v>71</v>
      </c>
      <c r="E91" s="139"/>
      <c r="F91" s="140"/>
      <c r="H91" s="97"/>
      <c r="I91" s="1" t="s">
        <v>61</v>
      </c>
      <c r="J91" s="100"/>
      <c r="K91" s="58" t="s">
        <v>51</v>
      </c>
      <c r="L91" s="97"/>
      <c r="N91" s="63" t="str">
        <f t="shared" ref="N91:N94" si="11">IF(AND(H91="",J91="",L91=""),"",IF(L91="",H91*J91,L91))</f>
        <v/>
      </c>
    </row>
    <row r="92" spans="2:14" x14ac:dyDescent="0.2">
      <c r="B92" s="6"/>
      <c r="D92" s="26" t="s">
        <v>71</v>
      </c>
      <c r="E92" s="139"/>
      <c r="F92" s="140"/>
      <c r="H92" s="97"/>
      <c r="I92" s="1" t="s">
        <v>61</v>
      </c>
      <c r="J92" s="100"/>
      <c r="K92" s="58" t="s">
        <v>51</v>
      </c>
      <c r="L92" s="97"/>
      <c r="N92" s="63" t="str">
        <f t="shared" si="11"/>
        <v/>
      </c>
    </row>
    <row r="93" spans="2:14" x14ac:dyDescent="0.2">
      <c r="B93" s="6"/>
      <c r="D93" s="26" t="s">
        <v>71</v>
      </c>
      <c r="E93" s="139"/>
      <c r="F93" s="140"/>
      <c r="H93" s="97"/>
      <c r="I93" s="1" t="s">
        <v>61</v>
      </c>
      <c r="J93" s="100"/>
      <c r="K93" s="58" t="s">
        <v>51</v>
      </c>
      <c r="L93" s="97"/>
      <c r="N93" s="63" t="str">
        <f t="shared" si="11"/>
        <v/>
      </c>
    </row>
    <row r="94" spans="2:14" ht="16" thickBot="1" x14ac:dyDescent="0.25">
      <c r="B94" s="6"/>
      <c r="D94" s="26" t="s">
        <v>71</v>
      </c>
      <c r="E94" s="141"/>
      <c r="F94" s="142"/>
      <c r="H94" s="98"/>
      <c r="I94" s="1" t="s">
        <v>61</v>
      </c>
      <c r="J94" s="101"/>
      <c r="K94" s="58" t="s">
        <v>51</v>
      </c>
      <c r="L94" s="98"/>
      <c r="N94" s="63" t="str">
        <f t="shared" si="11"/>
        <v/>
      </c>
    </row>
    <row r="95" spans="2:14" x14ac:dyDescent="0.2">
      <c r="B95" s="6"/>
      <c r="N95" s="63"/>
    </row>
    <row r="96" spans="2:14" x14ac:dyDescent="0.2">
      <c r="B96" s="136" t="s">
        <v>93</v>
      </c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N96" s="63"/>
    </row>
    <row r="97" spans="2:16" x14ac:dyDescent="0.2">
      <c r="B97" s="62"/>
      <c r="C97" s="2"/>
      <c r="D97" s="2"/>
      <c r="E97" s="2"/>
      <c r="F97" s="2"/>
      <c r="G97" s="2"/>
      <c r="H97" s="79"/>
      <c r="I97" s="2"/>
      <c r="J97" s="2"/>
      <c r="K97" s="2"/>
      <c r="L97" s="79"/>
      <c r="N97" s="63"/>
    </row>
    <row r="98" spans="2:16" ht="16" thickBot="1" x14ac:dyDescent="0.25">
      <c r="B98" s="6"/>
      <c r="C98"/>
      <c r="D98" s="26" t="s">
        <v>94</v>
      </c>
      <c r="E98" s="74" t="s">
        <v>41</v>
      </c>
      <c r="F98" s="65" t="s">
        <v>95</v>
      </c>
      <c r="G98" s="74" t="s">
        <v>43</v>
      </c>
      <c r="H98" s="26" t="s">
        <v>96</v>
      </c>
      <c r="I98" s="74" t="s">
        <v>97</v>
      </c>
      <c r="J98" s="1" t="s">
        <v>98</v>
      </c>
      <c r="K98" s="74" t="s">
        <v>43</v>
      </c>
      <c r="L98" s="26" t="s">
        <v>57</v>
      </c>
      <c r="N98" s="63"/>
    </row>
    <row r="99" spans="2:16" x14ac:dyDescent="0.2">
      <c r="B99" s="6"/>
      <c r="C99" t="s">
        <v>99</v>
      </c>
      <c r="D99" s="96">
        <v>4.24</v>
      </c>
      <c r="E99" s="74" t="s">
        <v>41</v>
      </c>
      <c r="F99" s="102">
        <v>1800</v>
      </c>
      <c r="G99" s="74" t="s">
        <v>43</v>
      </c>
      <c r="H99" s="26">
        <f>D99*F99</f>
        <v>7632</v>
      </c>
      <c r="I99" s="74" t="s">
        <v>97</v>
      </c>
      <c r="J99" s="1">
        <f>'Settings (COMPLETE ME)'!$D$7</f>
        <v>550</v>
      </c>
      <c r="K99" s="74" t="s">
        <v>43</v>
      </c>
      <c r="L99" s="26">
        <f>H99/J99</f>
        <v>13.876363636363637</v>
      </c>
      <c r="N99" s="63">
        <f>SUM(L99:L103)</f>
        <v>122.95418181818184</v>
      </c>
      <c r="P99" s="86">
        <f>F99/J99</f>
        <v>3.2727272727272729</v>
      </c>
    </row>
    <row r="100" spans="2:16" x14ac:dyDescent="0.2">
      <c r="B100" s="6"/>
      <c r="C100" t="s">
        <v>100</v>
      </c>
      <c r="D100" s="97">
        <v>5.2</v>
      </c>
      <c r="E100" s="74" t="s">
        <v>41</v>
      </c>
      <c r="F100" s="103">
        <v>2800</v>
      </c>
      <c r="G100" s="74" t="s">
        <v>43</v>
      </c>
      <c r="H100" s="26">
        <f t="shared" ref="H100:H103" si="12">D100*F100</f>
        <v>14560</v>
      </c>
      <c r="I100" s="74" t="s">
        <v>97</v>
      </c>
      <c r="J100" s="1">
        <f>'Settings (COMPLETE ME)'!$D$7</f>
        <v>550</v>
      </c>
      <c r="K100" s="74" t="s">
        <v>43</v>
      </c>
      <c r="L100" s="26">
        <f t="shared" ref="L100:L103" si="13">H100/J100</f>
        <v>26.472727272727273</v>
      </c>
      <c r="N100" s="63"/>
      <c r="P100" s="86">
        <f t="shared" ref="P100:P101" si="14">F100/J100</f>
        <v>5.0909090909090908</v>
      </c>
    </row>
    <row r="101" spans="2:16" ht="16" thickBot="1" x14ac:dyDescent="0.25">
      <c r="B101" s="6"/>
      <c r="C101" t="s">
        <v>101</v>
      </c>
      <c r="D101" s="98">
        <f>D100-0.564</f>
        <v>4.6360000000000001</v>
      </c>
      <c r="E101" s="74" t="s">
        <v>41</v>
      </c>
      <c r="F101" s="104">
        <v>9800</v>
      </c>
      <c r="G101" s="74" t="s">
        <v>43</v>
      </c>
      <c r="H101" s="26">
        <f t="shared" si="12"/>
        <v>45432.800000000003</v>
      </c>
      <c r="I101" s="74" t="s">
        <v>97</v>
      </c>
      <c r="J101" s="1">
        <f>'Settings (COMPLETE ME)'!$D$7</f>
        <v>550</v>
      </c>
      <c r="K101" s="74" t="s">
        <v>43</v>
      </c>
      <c r="L101" s="26">
        <f t="shared" si="13"/>
        <v>82.605090909090919</v>
      </c>
      <c r="N101" s="63"/>
      <c r="P101" s="86">
        <f t="shared" si="14"/>
        <v>17.818181818181817</v>
      </c>
    </row>
    <row r="102" spans="2:16" ht="16" thickBot="1" x14ac:dyDescent="0.25">
      <c r="B102" s="6"/>
      <c r="I102" s="74"/>
      <c r="K102" s="74"/>
      <c r="N102" s="63"/>
    </row>
    <row r="103" spans="2:16" ht="16" thickBot="1" x14ac:dyDescent="0.25">
      <c r="B103" s="6"/>
      <c r="C103" t="s">
        <v>102</v>
      </c>
      <c r="D103" s="95"/>
      <c r="E103" s="75" t="s">
        <v>41</v>
      </c>
      <c r="F103" s="95"/>
      <c r="G103" s="74" t="s">
        <v>43</v>
      </c>
      <c r="H103" s="26">
        <f t="shared" si="12"/>
        <v>0</v>
      </c>
      <c r="I103" s="74" t="s">
        <v>97</v>
      </c>
      <c r="J103" s="1">
        <f>'Settings (COMPLETE ME)'!$D$7</f>
        <v>550</v>
      </c>
      <c r="K103" s="74" t="s">
        <v>43</v>
      </c>
      <c r="L103" s="26">
        <f t="shared" si="13"/>
        <v>0</v>
      </c>
      <c r="N103" s="63"/>
    </row>
    <row r="104" spans="2:16" x14ac:dyDescent="0.2">
      <c r="B104" s="6"/>
      <c r="N104" s="63"/>
    </row>
    <row r="105" spans="2:16" x14ac:dyDescent="0.2">
      <c r="B105" s="136" t="s">
        <v>103</v>
      </c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N105" s="63"/>
    </row>
    <row r="106" spans="2:16" x14ac:dyDescent="0.2">
      <c r="B106" s="6"/>
      <c r="N106" s="63"/>
    </row>
    <row r="107" spans="2:16" x14ac:dyDescent="0.2">
      <c r="B107" s="6"/>
      <c r="D107" s="1" t="s">
        <v>104</v>
      </c>
      <c r="E107" s="1" t="s">
        <v>41</v>
      </c>
      <c r="F107" s="1" t="s">
        <v>105</v>
      </c>
      <c r="G107" s="1" t="str">
        <f>"="</f>
        <v>=</v>
      </c>
      <c r="H107" s="26" t="s">
        <v>96</v>
      </c>
      <c r="I107" s="74" t="s">
        <v>97</v>
      </c>
      <c r="J107" s="1" t="s">
        <v>24</v>
      </c>
      <c r="K107" s="74" t="s">
        <v>43</v>
      </c>
      <c r="L107" s="26" t="s">
        <v>57</v>
      </c>
      <c r="N107" s="63"/>
    </row>
    <row r="108" spans="2:16" ht="16" thickBot="1" x14ac:dyDescent="0.25">
      <c r="B108" s="6"/>
      <c r="E108" s="1"/>
      <c r="N108" s="63"/>
    </row>
    <row r="109" spans="2:16" ht="16" thickBot="1" x14ac:dyDescent="0.25">
      <c r="B109" s="6"/>
      <c r="D109" s="95"/>
      <c r="E109" s="1" t="s">
        <v>41</v>
      </c>
      <c r="F109" s="95"/>
      <c r="G109" s="74" t="s">
        <v>43</v>
      </c>
      <c r="H109" s="26" t="str">
        <f>IF(F109&lt;&gt;"",D109*F109,"")</f>
        <v/>
      </c>
      <c r="I109" s="74" t="s">
        <v>97</v>
      </c>
      <c r="J109" s="1">
        <f>'Settings (COMPLETE ME)'!D7</f>
        <v>550</v>
      </c>
      <c r="K109" s="74" t="s">
        <v>43</v>
      </c>
      <c r="L109" s="26">
        <f>(D109*F109)/J109</f>
        <v>0</v>
      </c>
      <c r="N109" s="63">
        <f>L109+L113+L118</f>
        <v>233.05000000000004</v>
      </c>
    </row>
    <row r="110" spans="2:16" x14ac:dyDescent="0.2">
      <c r="B110" s="6"/>
      <c r="E110" s="1"/>
      <c r="G110" s="74"/>
      <c r="I110" s="74"/>
      <c r="K110" s="74"/>
      <c r="N110" s="63"/>
    </row>
    <row r="111" spans="2:16" x14ac:dyDescent="0.2">
      <c r="B111" s="6"/>
      <c r="D111" s="1" t="s">
        <v>106</v>
      </c>
      <c r="E111" s="1" t="s">
        <v>41</v>
      </c>
      <c r="F111" s="1" t="s">
        <v>107</v>
      </c>
      <c r="G111" s="74"/>
      <c r="I111" s="74"/>
      <c r="K111" s="74"/>
      <c r="N111" s="63"/>
    </row>
    <row r="112" spans="2:16" ht="16" thickBot="1" x14ac:dyDescent="0.25">
      <c r="B112" s="6"/>
      <c r="E112" s="1"/>
      <c r="G112" s="74"/>
      <c r="I112" s="74"/>
      <c r="K112" s="74"/>
      <c r="N112" s="63"/>
    </row>
    <row r="113" spans="2:14" ht="16" thickBot="1" x14ac:dyDescent="0.25">
      <c r="B113" s="6"/>
      <c r="D113" s="94">
        <v>5.9</v>
      </c>
      <c r="E113" s="1" t="s">
        <v>41</v>
      </c>
      <c r="F113" s="85">
        <f>F7*'Settings (COMPLETE ME)'!D7</f>
        <v>21725</v>
      </c>
      <c r="G113" s="74" t="s">
        <v>43</v>
      </c>
      <c r="H113" s="26">
        <f>IF(D113&lt;&gt;"",D113*F113,"")</f>
        <v>128177.50000000001</v>
      </c>
      <c r="I113" s="74" t="s">
        <v>97</v>
      </c>
      <c r="J113" s="1">
        <f>'Settings (COMPLETE ME)'!D7</f>
        <v>550</v>
      </c>
      <c r="K113" s="74" t="s">
        <v>43</v>
      </c>
      <c r="L113" s="26">
        <f>H113/J113</f>
        <v>233.05000000000004</v>
      </c>
      <c r="N113" s="63"/>
    </row>
    <row r="114" spans="2:14" x14ac:dyDescent="0.2">
      <c r="B114" s="6"/>
      <c r="D114" s="1" t="s">
        <v>108</v>
      </c>
      <c r="N114" s="63"/>
    </row>
    <row r="115" spans="2:14" x14ac:dyDescent="0.2">
      <c r="B115" s="6"/>
      <c r="N115" s="63"/>
    </row>
    <row r="116" spans="2:14" x14ac:dyDescent="0.2">
      <c r="B116" s="6"/>
      <c r="H116" s="26" t="s">
        <v>109</v>
      </c>
      <c r="I116" s="74" t="s">
        <v>97</v>
      </c>
      <c r="J116" s="1" t="s">
        <v>24</v>
      </c>
      <c r="N116" s="63"/>
    </row>
    <row r="117" spans="2:14" ht="16" thickBot="1" x14ac:dyDescent="0.25">
      <c r="B117" s="6"/>
      <c r="N117" s="63"/>
    </row>
    <row r="118" spans="2:14" ht="16" thickBot="1" x14ac:dyDescent="0.25">
      <c r="B118" s="6"/>
      <c r="H118" s="94"/>
      <c r="I118" s="74" t="s">
        <v>97</v>
      </c>
      <c r="J118" s="1">
        <f>'Settings (COMPLETE ME)'!D7</f>
        <v>550</v>
      </c>
      <c r="L118" s="26">
        <f>IF(H118&lt;&gt;"",H118/J118,0)</f>
        <v>0</v>
      </c>
      <c r="N118" s="63"/>
    </row>
    <row r="119" spans="2:14" x14ac:dyDescent="0.2">
      <c r="B119" s="6"/>
      <c r="N119" s="63"/>
    </row>
    <row r="120" spans="2:14" x14ac:dyDescent="0.2">
      <c r="B120" s="136" t="s">
        <v>110</v>
      </c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N120" s="63"/>
    </row>
    <row r="121" spans="2:14" x14ac:dyDescent="0.2">
      <c r="B121" s="6"/>
      <c r="N121" s="63"/>
    </row>
    <row r="122" spans="2:14" x14ac:dyDescent="0.2">
      <c r="B122" s="62" t="s">
        <v>111</v>
      </c>
      <c r="C122" s="2"/>
      <c r="D122" s="2"/>
      <c r="E122" s="2"/>
      <c r="N122" s="63"/>
    </row>
    <row r="123" spans="2:14" x14ac:dyDescent="0.2">
      <c r="B123" s="6"/>
      <c r="C123" s="146" t="s">
        <v>112</v>
      </c>
      <c r="D123" s="146"/>
      <c r="N123" s="63"/>
    </row>
    <row r="124" spans="2:14" ht="16" thickBot="1" x14ac:dyDescent="0.25">
      <c r="B124" s="6" t="s">
        <v>53</v>
      </c>
      <c r="C124" s="26" t="s">
        <v>113</v>
      </c>
      <c r="D124" s="1" t="s">
        <v>114</v>
      </c>
      <c r="E124" s="65" t="s">
        <v>115</v>
      </c>
      <c r="N124" s="63"/>
    </row>
    <row r="125" spans="2:14" x14ac:dyDescent="0.2">
      <c r="B125" s="105" t="s">
        <v>116</v>
      </c>
      <c r="C125" s="106">
        <v>1500</v>
      </c>
      <c r="D125" s="107"/>
      <c r="E125" s="26">
        <f>IF(C125="",D125,C125*12)</f>
        <v>18000</v>
      </c>
      <c r="N125" s="63"/>
    </row>
    <row r="126" spans="2:14" x14ac:dyDescent="0.2">
      <c r="B126" s="108" t="s">
        <v>117</v>
      </c>
      <c r="C126" s="109"/>
      <c r="D126" s="110">
        <v>8800</v>
      </c>
      <c r="E126" s="26">
        <f t="shared" ref="E126:E129" si="15">IF(C126="",D126,C126*12)</f>
        <v>8800</v>
      </c>
      <c r="N126" s="63"/>
    </row>
    <row r="127" spans="2:14" x14ac:dyDescent="0.2">
      <c r="B127" s="108"/>
      <c r="C127" s="109"/>
      <c r="D127" s="110"/>
      <c r="E127" s="26">
        <f t="shared" si="15"/>
        <v>0</v>
      </c>
      <c r="N127" s="63"/>
    </row>
    <row r="128" spans="2:14" x14ac:dyDescent="0.2">
      <c r="B128" s="108"/>
      <c r="C128" s="109"/>
      <c r="D128" s="110"/>
      <c r="E128" s="26">
        <f t="shared" si="15"/>
        <v>0</v>
      </c>
      <c r="H128" s="26" t="s">
        <v>96</v>
      </c>
      <c r="I128" s="74" t="s">
        <v>97</v>
      </c>
      <c r="J128" s="1" t="s">
        <v>24</v>
      </c>
      <c r="K128" s="74" t="s">
        <v>43</v>
      </c>
      <c r="L128" s="26" t="s">
        <v>57</v>
      </c>
      <c r="N128" s="63"/>
    </row>
    <row r="129" spans="2:14" ht="16" thickBot="1" x14ac:dyDescent="0.25">
      <c r="B129" s="111"/>
      <c r="C129" s="112"/>
      <c r="D129" s="113"/>
      <c r="E129" s="26">
        <f t="shared" si="15"/>
        <v>0</v>
      </c>
      <c r="N129" s="63"/>
    </row>
    <row r="130" spans="2:14" x14ac:dyDescent="0.2">
      <c r="B130" s="6"/>
      <c r="E130" s="76">
        <f>SUM(E125:E129)</f>
        <v>26800</v>
      </c>
      <c r="F130" s="1" t="str">
        <f>"------------------&gt;"</f>
        <v>------------------&gt;</v>
      </c>
      <c r="H130" s="26">
        <f>SUM(E125:E129)</f>
        <v>26800</v>
      </c>
      <c r="I130" s="74" t="s">
        <v>97</v>
      </c>
      <c r="J130" s="1">
        <f>'Settings (COMPLETE ME)'!D7</f>
        <v>550</v>
      </c>
      <c r="K130" s="74" t="s">
        <v>43</v>
      </c>
      <c r="L130" s="26">
        <f>H130/J130</f>
        <v>48.727272727272727</v>
      </c>
      <c r="N130" s="63">
        <f>L130</f>
        <v>48.727272727272727</v>
      </c>
    </row>
    <row r="131" spans="2:14" x14ac:dyDescent="0.2">
      <c r="B131" s="6"/>
      <c r="E131" s="26"/>
      <c r="N131" s="63"/>
    </row>
    <row r="132" spans="2:14" x14ac:dyDescent="0.2">
      <c r="B132" s="6"/>
      <c r="N132" s="63"/>
    </row>
    <row r="133" spans="2:14" x14ac:dyDescent="0.2">
      <c r="B133" s="136" t="s">
        <v>118</v>
      </c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N133" s="63"/>
    </row>
    <row r="134" spans="2:14" x14ac:dyDescent="0.2">
      <c r="B134" s="62"/>
      <c r="C134" s="2"/>
      <c r="D134" s="2"/>
      <c r="E134" s="2"/>
      <c r="F134" s="2"/>
      <c r="G134" s="2"/>
      <c r="H134" s="79"/>
      <c r="I134" s="2"/>
      <c r="J134" s="2"/>
      <c r="K134" s="2"/>
      <c r="L134" s="79"/>
      <c r="N134" s="63"/>
    </row>
    <row r="135" spans="2:14" x14ac:dyDescent="0.2">
      <c r="B135" s="62" t="s">
        <v>119</v>
      </c>
      <c r="C135" s="2"/>
      <c r="D135" s="2"/>
      <c r="E135" s="2"/>
      <c r="F135" s="2"/>
      <c r="G135" s="2"/>
      <c r="H135" s="79"/>
      <c r="I135" s="2"/>
      <c r="J135" s="2"/>
      <c r="K135" s="2"/>
      <c r="L135" s="79"/>
      <c r="N135" s="63"/>
    </row>
    <row r="136" spans="2:14" x14ac:dyDescent="0.2">
      <c r="B136" s="6"/>
      <c r="C136" s="146" t="s">
        <v>112</v>
      </c>
      <c r="D136" s="146"/>
      <c r="H136" s="147" t="s">
        <v>120</v>
      </c>
      <c r="I136" s="148"/>
      <c r="J136" s="148"/>
      <c r="K136" s="148"/>
      <c r="L136" s="149"/>
      <c r="N136" s="63">
        <f>SUM(E138:E147)/'Settings (COMPLETE ME)'!D7</f>
        <v>98.181818181818187</v>
      </c>
    </row>
    <row r="137" spans="2:14" ht="16" thickBot="1" x14ac:dyDescent="0.25">
      <c r="B137" s="6" t="s">
        <v>53</v>
      </c>
      <c r="C137" s="26" t="s">
        <v>113</v>
      </c>
      <c r="D137" s="1" t="s">
        <v>114</v>
      </c>
      <c r="E137" s="65" t="s">
        <v>115</v>
      </c>
      <c r="N137" s="63"/>
    </row>
    <row r="138" spans="2:14" x14ac:dyDescent="0.2">
      <c r="B138" s="105" t="s">
        <v>121</v>
      </c>
      <c r="C138" s="106">
        <v>4000</v>
      </c>
      <c r="D138" s="107"/>
      <c r="E138" s="26">
        <f>IF(C138="",D138,C138*12)</f>
        <v>48000</v>
      </c>
      <c r="H138" s="26" t="s">
        <v>122</v>
      </c>
      <c r="I138" s="74" t="s">
        <v>97</v>
      </c>
      <c r="J138" s="1" t="s">
        <v>24</v>
      </c>
      <c r="K138" s="74" t="s">
        <v>43</v>
      </c>
      <c r="L138" s="26" t="s">
        <v>57</v>
      </c>
      <c r="N138" s="63"/>
    </row>
    <row r="139" spans="2:14" ht="16" thickBot="1" x14ac:dyDescent="0.25">
      <c r="B139" s="108" t="s">
        <v>123</v>
      </c>
      <c r="C139" s="109">
        <v>500</v>
      </c>
      <c r="D139" s="110"/>
      <c r="E139" s="26">
        <f>IF(C139="",D139,C139*12)</f>
        <v>6000</v>
      </c>
      <c r="N139" s="63"/>
    </row>
    <row r="140" spans="2:14" ht="16" thickBot="1" x14ac:dyDescent="0.25">
      <c r="B140" s="108"/>
      <c r="C140" s="109"/>
      <c r="D140" s="110"/>
      <c r="E140" s="26">
        <f>IF(C140="",D140,C140*12)</f>
        <v>0</v>
      </c>
      <c r="H140" s="94">
        <v>9000</v>
      </c>
      <c r="I140" s="74" t="s">
        <v>97</v>
      </c>
      <c r="J140" s="1">
        <f>'Settings (COMPLETE ME)'!D7</f>
        <v>550</v>
      </c>
      <c r="K140" s="74" t="s">
        <v>43</v>
      </c>
      <c r="L140" s="26">
        <f>H140/J140</f>
        <v>16.363636363636363</v>
      </c>
      <c r="N140" s="63">
        <f>L140</f>
        <v>16.363636363636363</v>
      </c>
    </row>
    <row r="141" spans="2:14" x14ac:dyDescent="0.2">
      <c r="B141" s="108"/>
      <c r="C141" s="109"/>
      <c r="D141" s="110"/>
      <c r="E141" s="26">
        <f t="shared" ref="E141:E147" si="16">IF(C141="",D141,C141*12)</f>
        <v>0</v>
      </c>
      <c r="N141" s="63"/>
    </row>
    <row r="142" spans="2:14" x14ac:dyDescent="0.2">
      <c r="B142" s="108"/>
      <c r="C142" s="109"/>
      <c r="D142" s="110"/>
      <c r="E142" s="26">
        <f t="shared" si="16"/>
        <v>0</v>
      </c>
      <c r="H142" s="143" t="s">
        <v>124</v>
      </c>
      <c r="I142" s="144"/>
      <c r="J142" s="144"/>
      <c r="K142" s="144"/>
      <c r="L142" s="145"/>
      <c r="N142" s="63"/>
    </row>
    <row r="143" spans="2:14" x14ac:dyDescent="0.2">
      <c r="B143" s="108"/>
      <c r="C143" s="109"/>
      <c r="D143" s="110"/>
      <c r="E143" s="26">
        <f t="shared" si="16"/>
        <v>0</v>
      </c>
      <c r="N143" s="63"/>
    </row>
    <row r="144" spans="2:14" x14ac:dyDescent="0.2">
      <c r="B144" s="108"/>
      <c r="C144" s="109"/>
      <c r="D144" s="110"/>
      <c r="E144" s="26">
        <f t="shared" si="16"/>
        <v>0</v>
      </c>
      <c r="H144" s="26" t="s">
        <v>96</v>
      </c>
      <c r="I144" s="74" t="s">
        <v>97</v>
      </c>
      <c r="J144" s="1" t="s">
        <v>24</v>
      </c>
      <c r="K144" s="74" t="s">
        <v>43</v>
      </c>
      <c r="L144" s="26" t="s">
        <v>57</v>
      </c>
      <c r="N144" s="63"/>
    </row>
    <row r="145" spans="2:14" ht="16" thickBot="1" x14ac:dyDescent="0.25">
      <c r="B145" s="108"/>
      <c r="C145" s="109"/>
      <c r="D145" s="110"/>
      <c r="E145" s="26">
        <f t="shared" si="16"/>
        <v>0</v>
      </c>
      <c r="N145" s="63"/>
    </row>
    <row r="146" spans="2:14" ht="16" thickBot="1" x14ac:dyDescent="0.25">
      <c r="B146" s="108"/>
      <c r="C146" s="109"/>
      <c r="D146" s="110"/>
      <c r="E146" s="26">
        <f t="shared" si="16"/>
        <v>0</v>
      </c>
      <c r="H146" s="94">
        <v>112000</v>
      </c>
      <c r="I146" s="74" t="s">
        <v>97</v>
      </c>
      <c r="J146" s="1">
        <f>'Settings (COMPLETE ME)'!D7</f>
        <v>550</v>
      </c>
      <c r="K146" s="74" t="s">
        <v>43</v>
      </c>
      <c r="L146" s="26">
        <f>H146/J146</f>
        <v>203.63636363636363</v>
      </c>
      <c r="N146" s="63">
        <f>L146</f>
        <v>203.63636363636363</v>
      </c>
    </row>
    <row r="147" spans="2:14" ht="16" thickBot="1" x14ac:dyDescent="0.25">
      <c r="B147" s="111"/>
      <c r="C147" s="112"/>
      <c r="D147" s="113"/>
      <c r="E147" s="26">
        <f t="shared" si="16"/>
        <v>0</v>
      </c>
      <c r="N147" s="63"/>
    </row>
    <row r="148" spans="2:14" x14ac:dyDescent="0.2">
      <c r="B148" s="6"/>
      <c r="E148" s="76">
        <f>SUM(E138:E147)</f>
        <v>54000</v>
      </c>
      <c r="N148" s="63"/>
    </row>
    <row r="149" spans="2:14" ht="15" customHeight="1" x14ac:dyDescent="0.2">
      <c r="B149" s="6"/>
      <c r="N149" s="63"/>
    </row>
    <row r="150" spans="2:14" x14ac:dyDescent="0.2">
      <c r="B150" s="136" t="s">
        <v>125</v>
      </c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N150" s="63"/>
    </row>
    <row r="151" spans="2:14" x14ac:dyDescent="0.2">
      <c r="B151" s="6"/>
      <c r="J151" s="26"/>
      <c r="N151" s="63"/>
    </row>
    <row r="152" spans="2:14" x14ac:dyDescent="0.2">
      <c r="B152" s="28" t="s">
        <v>126</v>
      </c>
      <c r="D152" s="1" t="s">
        <v>24</v>
      </c>
      <c r="H152" s="26" t="s">
        <v>127</v>
      </c>
      <c r="I152" s="74" t="s">
        <v>97</v>
      </c>
      <c r="J152" s="1" t="s">
        <v>24</v>
      </c>
      <c r="K152" s="74" t="s">
        <v>43</v>
      </c>
      <c r="L152" s="26" t="s">
        <v>128</v>
      </c>
      <c r="N152" s="63"/>
    </row>
    <row r="153" spans="2:14" ht="16" thickBot="1" x14ac:dyDescent="0.25">
      <c r="B153" s="6"/>
      <c r="N153" s="63"/>
    </row>
    <row r="154" spans="2:14" ht="16" thickBot="1" x14ac:dyDescent="0.25">
      <c r="B154" s="94">
        <v>350</v>
      </c>
      <c r="C154" s="77" t="s">
        <v>41</v>
      </c>
      <c r="D154" s="74">
        <f>'Settings (COMPLETE ME)'!D7</f>
        <v>550</v>
      </c>
      <c r="E154" s="75" t="s">
        <v>43</v>
      </c>
      <c r="F154" s="26">
        <f>B154*D154</f>
        <v>192500</v>
      </c>
      <c r="G154" s="74" t="s">
        <v>129</v>
      </c>
      <c r="H154" s="26">
        <f>F154+F158+F160</f>
        <v>192550</v>
      </c>
      <c r="I154" s="74" t="s">
        <v>97</v>
      </c>
      <c r="J154" s="1">
        <f>'Settings (COMPLETE ME)'!D7</f>
        <v>550</v>
      </c>
      <c r="K154" s="74" t="s">
        <v>43</v>
      </c>
      <c r="L154" s="26">
        <f>H154/J154</f>
        <v>350.09090909090907</v>
      </c>
      <c r="N154" s="63">
        <f>L154</f>
        <v>350.09090909090907</v>
      </c>
    </row>
    <row r="155" spans="2:14" x14ac:dyDescent="0.2">
      <c r="B155" s="28"/>
      <c r="C155" s="1"/>
      <c r="E155" s="1"/>
      <c r="F155" s="26"/>
      <c r="H155" s="77" t="s">
        <v>130</v>
      </c>
      <c r="N155" s="63"/>
    </row>
    <row r="156" spans="2:14" x14ac:dyDescent="0.2">
      <c r="B156" s="28" t="s">
        <v>131</v>
      </c>
      <c r="C156" s="74" t="s">
        <v>41</v>
      </c>
      <c r="D156" s="1" t="s">
        <v>132</v>
      </c>
      <c r="E156" s="74" t="s">
        <v>43</v>
      </c>
      <c r="F156" s="26" t="s">
        <v>133</v>
      </c>
      <c r="G156" s="74" t="s">
        <v>129</v>
      </c>
      <c r="H156" s="77" t="s">
        <v>130</v>
      </c>
      <c r="N156" s="63"/>
    </row>
    <row r="157" spans="2:14" ht="16" thickBot="1" x14ac:dyDescent="0.25">
      <c r="B157" s="28"/>
      <c r="C157" s="74"/>
      <c r="E157" s="74"/>
      <c r="F157" s="26"/>
      <c r="H157" s="77" t="s">
        <v>130</v>
      </c>
      <c r="N157" s="63"/>
    </row>
    <row r="158" spans="2:14" ht="16" thickBot="1" x14ac:dyDescent="0.25">
      <c r="B158" s="114">
        <v>0</v>
      </c>
      <c r="C158" s="74" t="s">
        <v>41</v>
      </c>
      <c r="D158" s="26">
        <f>J7</f>
        <v>2212</v>
      </c>
      <c r="E158" s="74" t="s">
        <v>43</v>
      </c>
      <c r="F158" s="26">
        <f>B158*D158</f>
        <v>0</v>
      </c>
      <c r="H158" s="77" t="s">
        <v>130</v>
      </c>
      <c r="N158" s="63"/>
    </row>
    <row r="159" spans="2:14" ht="16" thickBot="1" x14ac:dyDescent="0.25">
      <c r="B159" s="28"/>
      <c r="C159" s="74"/>
      <c r="E159" s="74"/>
      <c r="F159" s="26"/>
      <c r="H159" s="77" t="s">
        <v>130</v>
      </c>
      <c r="N159" s="63"/>
    </row>
    <row r="160" spans="2:14" ht="16" thickBot="1" x14ac:dyDescent="0.25">
      <c r="B160" s="28"/>
      <c r="C160" s="74"/>
      <c r="E160" s="26" t="s">
        <v>134</v>
      </c>
      <c r="F160" s="94">
        <v>50</v>
      </c>
      <c r="G160" s="74" t="s">
        <v>129</v>
      </c>
      <c r="H160" s="77" t="s">
        <v>130</v>
      </c>
      <c r="N160" s="63"/>
    </row>
    <row r="161" spans="2:14" x14ac:dyDescent="0.2">
      <c r="B161" s="28"/>
      <c r="C161" s="74"/>
      <c r="E161" s="74"/>
      <c r="F161" s="26"/>
      <c r="N161" s="63"/>
    </row>
    <row r="162" spans="2:14" ht="16" thickBot="1" x14ac:dyDescent="0.25">
      <c r="B162" s="8"/>
      <c r="C162" s="25"/>
      <c r="D162" s="24"/>
      <c r="E162" s="69"/>
      <c r="F162" s="25" t="str">
        <f>IF(C162&lt;&gt;0,C81*E162,"")</f>
        <v/>
      </c>
      <c r="G162" s="24"/>
      <c r="H162" s="25"/>
      <c r="I162" s="24"/>
      <c r="J162" s="24"/>
      <c r="K162" s="24"/>
      <c r="L162" s="25"/>
      <c r="M162" s="9"/>
      <c r="N162" s="64"/>
    </row>
    <row r="165" spans="2:14" x14ac:dyDescent="0.2">
      <c r="C165"/>
      <c r="D165"/>
      <c r="E165"/>
      <c r="F165"/>
    </row>
    <row r="166" spans="2:14" x14ac:dyDescent="0.2">
      <c r="C166"/>
      <c r="D166"/>
      <c r="E166"/>
      <c r="F166"/>
    </row>
    <row r="167" spans="2:14" x14ac:dyDescent="0.2">
      <c r="C167"/>
      <c r="D167"/>
      <c r="E167"/>
      <c r="F167"/>
    </row>
    <row r="168" spans="2:14" x14ac:dyDescent="0.2">
      <c r="C168"/>
      <c r="D168"/>
      <c r="E168"/>
      <c r="F168"/>
    </row>
    <row r="169" spans="2:14" x14ac:dyDescent="0.2">
      <c r="C169"/>
      <c r="D169"/>
      <c r="E169"/>
      <c r="F169"/>
    </row>
    <row r="170" spans="2:14" x14ac:dyDescent="0.2">
      <c r="C170"/>
      <c r="D170"/>
      <c r="E170"/>
      <c r="F170"/>
    </row>
  </sheetData>
  <sheetProtection sheet="1" objects="1" scenarios="1"/>
  <mergeCells count="43">
    <mergeCell ref="E52:F52"/>
    <mergeCell ref="E53:F53"/>
    <mergeCell ref="E54:F54"/>
    <mergeCell ref="E72:F72"/>
    <mergeCell ref="E71:F71"/>
    <mergeCell ref="E91:F91"/>
    <mergeCell ref="E92:F92"/>
    <mergeCell ref="E93:F93"/>
    <mergeCell ref="E94:F94"/>
    <mergeCell ref="E73:F73"/>
    <mergeCell ref="E74:F74"/>
    <mergeCell ref="E75:F75"/>
    <mergeCell ref="E76:F76"/>
    <mergeCell ref="E90:F90"/>
    <mergeCell ref="E89:F89"/>
    <mergeCell ref="B150:L150"/>
    <mergeCell ref="B133:L133"/>
    <mergeCell ref="B96:L96"/>
    <mergeCell ref="H142:L142"/>
    <mergeCell ref="B16:L16"/>
    <mergeCell ref="H58:J58"/>
    <mergeCell ref="H80:J80"/>
    <mergeCell ref="C136:D136"/>
    <mergeCell ref="C123:D123"/>
    <mergeCell ref="B120:L120"/>
    <mergeCell ref="H136:L136"/>
    <mergeCell ref="B56:L56"/>
    <mergeCell ref="B78:L78"/>
    <mergeCell ref="B105:L105"/>
    <mergeCell ref="E50:F50"/>
    <mergeCell ref="E51:F51"/>
    <mergeCell ref="E49:F49"/>
    <mergeCell ref="B2:N2"/>
    <mergeCell ref="B3:N3"/>
    <mergeCell ref="H13:J13"/>
    <mergeCell ref="B20:L20"/>
    <mergeCell ref="B39:L39"/>
    <mergeCell ref="E33:F33"/>
    <mergeCell ref="E34:F34"/>
    <mergeCell ref="E35:F35"/>
    <mergeCell ref="E36:F36"/>
    <mergeCell ref="E37:F37"/>
    <mergeCell ref="E32:F32"/>
  </mergeCells>
  <conditionalFormatting sqref="N80:N89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A7DDE6F6-88BF-41EB-B6A7-3BDC28A3A296}">
          <x14:formula1>
            <xm:f>'Worksheet Inputs (HIDE)'!$B$5:$B$9</xm:f>
          </x14:formula1>
          <xm:sqref>B18</xm:sqref>
        </x14:dataValidation>
        <x14:dataValidation type="list" showInputMessage="1" showErrorMessage="1" xr:uid="{27956CAC-B813-4D7E-85AD-EB571362D77C}">
          <x14:formula1>
            <xm:f>'Worksheet Inputs (HIDE)'!$B$14:$B$23</xm:f>
          </x14:formula1>
          <xm:sqref>B22:B37</xm:sqref>
        </x14:dataValidation>
        <x14:dataValidation type="list" showInputMessage="1" showErrorMessage="1" xr:uid="{7C5E9FB5-365D-4174-BE2D-1726F611B98F}">
          <x14:formula1>
            <xm:f>'Worksheet Inputs (HIDE)'!$B$56:$B$61</xm:f>
          </x14:formula1>
          <xm:sqref>B83:B94</xm:sqref>
        </x14:dataValidation>
        <x14:dataValidation type="list" showInputMessage="1" showErrorMessage="1" xr:uid="{D0E56663-BD84-4933-A171-84669CC0220E}">
          <x14:formula1>
            <xm:f>'Worksheet Inputs (HIDE)'!$B$44:$B$51</xm:f>
          </x14:formula1>
          <xm:sqref>B61:B76</xm:sqref>
        </x14:dataValidation>
        <x14:dataValidation type="list" showInputMessage="1" showErrorMessage="1" xr:uid="{BA150A0C-3DCE-47D4-9EB3-081334843D99}">
          <x14:formula1>
            <xm:f>'Worksheet Inputs (HIDE)'!$B$28:$B$37</xm:f>
          </x14:formula1>
          <xm:sqref>B41:B54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19EE-FE9F-4118-93F3-9AE815642089}">
  <sheetPr>
    <tabColor rgb="FF00B050"/>
  </sheetPr>
  <dimension ref="B1:H42"/>
  <sheetViews>
    <sheetView showGridLines="0" zoomScale="90" zoomScaleNormal="90" workbookViewId="0">
      <selection activeCell="E20" sqref="E20"/>
    </sheetView>
  </sheetViews>
  <sheetFormatPr baseColWidth="10" defaultColWidth="8.83203125" defaultRowHeight="15" x14ac:dyDescent="0.2"/>
  <cols>
    <col min="2" max="2" width="78.33203125" customWidth="1"/>
    <col min="3" max="3" width="18.6640625" customWidth="1"/>
    <col min="4" max="4" width="9.6640625" customWidth="1"/>
    <col min="5" max="5" width="35.5" customWidth="1"/>
    <col min="6" max="6" width="14.1640625" customWidth="1"/>
    <col min="7" max="7" width="10.5" customWidth="1"/>
    <col min="8" max="8" width="13.1640625" customWidth="1"/>
  </cols>
  <sheetData>
    <row r="1" spans="2:8" ht="16" thickBot="1" x14ac:dyDescent="0.25"/>
    <row r="2" spans="2:8" x14ac:dyDescent="0.2">
      <c r="B2" s="150" t="s">
        <v>135</v>
      </c>
      <c r="C2" s="152"/>
      <c r="E2" s="150" t="s">
        <v>136</v>
      </c>
      <c r="F2" s="151"/>
      <c r="G2" s="151"/>
      <c r="H2" s="152"/>
    </row>
    <row r="3" spans="2:8" x14ac:dyDescent="0.2">
      <c r="B3" s="153" t="str">
        <f>'Settings (COMPLETE ME)'!D5</f>
        <v>My Farm, inc.</v>
      </c>
      <c r="C3" s="155"/>
      <c r="E3" s="153" t="str">
        <f>'Settings (COMPLETE ME)'!D5</f>
        <v>My Farm, inc.</v>
      </c>
      <c r="F3" s="154"/>
      <c r="G3" s="154"/>
      <c r="H3" s="155"/>
    </row>
    <row r="4" spans="2:8" x14ac:dyDescent="0.2">
      <c r="B4" s="153" t="str">
        <f>CONCATENATE('Settings (COMPLETE ME)'!D6," Marketing Year")</f>
        <v>2022 Marketing Year</v>
      </c>
      <c r="C4" s="155"/>
      <c r="E4" s="153" t="str">
        <f>CONCATENATE('Settings (COMPLETE ME)'!D6," Marketing Year")</f>
        <v>2022 Marketing Year</v>
      </c>
      <c r="F4" s="154"/>
      <c r="G4" s="154"/>
      <c r="H4" s="155"/>
    </row>
    <row r="5" spans="2:8" x14ac:dyDescent="0.2">
      <c r="B5" s="28"/>
      <c r="C5" s="15" t="s">
        <v>137</v>
      </c>
      <c r="E5" s="6"/>
      <c r="H5" s="7"/>
    </row>
    <row r="6" spans="2:8" x14ac:dyDescent="0.2">
      <c r="B6" s="43" t="s">
        <v>138</v>
      </c>
      <c r="C6" s="11"/>
      <c r="E6" s="18" t="s">
        <v>139</v>
      </c>
      <c r="F6" s="87">
        <v>0.05</v>
      </c>
      <c r="G6" s="23" t="s">
        <v>140</v>
      </c>
      <c r="H6" s="7"/>
    </row>
    <row r="7" spans="2:8" x14ac:dyDescent="0.2">
      <c r="B7" s="18" t="str">
        <f>CONCATENATE("Net Revenue from Sugarbeets ($",Worksheet!D7," @ ",Worksheet!F7," tons per acre)")</f>
        <v>Net Revenue from Sugarbeets ($56 @ 39.5 tons per acre)</v>
      </c>
      <c r="C7" s="11">
        <f>Worksheet!N7-Worksheet!N8</f>
        <v>2206.0749999999998</v>
      </c>
      <c r="E7" s="18"/>
      <c r="H7" s="7"/>
    </row>
    <row r="8" spans="2:8" x14ac:dyDescent="0.2">
      <c r="B8" s="18" t="s">
        <v>141</v>
      </c>
      <c r="C8" s="11">
        <f>Worksheet!N11</f>
        <v>0</v>
      </c>
      <c r="E8" s="43" t="s">
        <v>142</v>
      </c>
      <c r="F8" s="72" t="str">
        <f>CONCATENATE("-",F6*100,"%")</f>
        <v>-5%</v>
      </c>
      <c r="G8" s="72" t="s">
        <v>143</v>
      </c>
      <c r="H8" s="40" t="str">
        <f>CONCATENATE("+",F6*100,"%")</f>
        <v>+5%</v>
      </c>
    </row>
    <row r="9" spans="2:8" x14ac:dyDescent="0.2">
      <c r="B9" s="18"/>
      <c r="C9" s="11"/>
      <c r="E9" s="18"/>
      <c r="F9" s="26">
        <f>G9*(1-F6)</f>
        <v>53.199999999999996</v>
      </c>
      <c r="G9" s="26">
        <f>Worksheet!D7</f>
        <v>56</v>
      </c>
      <c r="H9" s="41">
        <f>G9*(1+F6)</f>
        <v>58.800000000000004</v>
      </c>
    </row>
    <row r="10" spans="2:8" ht="18" x14ac:dyDescent="0.35">
      <c r="B10" s="18" t="s">
        <v>144</v>
      </c>
      <c r="C10" s="14">
        <f>C7+C8</f>
        <v>2206.0749999999998</v>
      </c>
      <c r="E10" s="6"/>
      <c r="F10" s="36"/>
      <c r="G10" s="36"/>
      <c r="H10" s="7"/>
    </row>
    <row r="11" spans="2:8" x14ac:dyDescent="0.2">
      <c r="B11" s="18"/>
      <c r="C11" s="11"/>
      <c r="E11" s="18" t="s">
        <v>206</v>
      </c>
      <c r="F11" s="65">
        <f ca="1">$C$26/F9</f>
        <v>25.835638330165583</v>
      </c>
      <c r="G11" s="65">
        <f ca="1">$C$26/G9</f>
        <v>24.543856413657302</v>
      </c>
      <c r="H11" s="84">
        <f ca="1">$C$26/H9</f>
        <v>23.375101346340287</v>
      </c>
    </row>
    <row r="12" spans="2:8" x14ac:dyDescent="0.2">
      <c r="B12" s="43" t="s">
        <v>145</v>
      </c>
      <c r="C12" s="11"/>
      <c r="E12" s="18" t="s">
        <v>207</v>
      </c>
      <c r="F12" s="65">
        <f>$C$35/F9</f>
        <v>12.561517429938483</v>
      </c>
      <c r="G12" s="65">
        <f>$C$35/G9</f>
        <v>11.933441558441558</v>
      </c>
      <c r="H12" s="84">
        <f>$C$35/H9</f>
        <v>11.365182436611008</v>
      </c>
    </row>
    <row r="13" spans="2:8" x14ac:dyDescent="0.2">
      <c r="B13" s="18"/>
      <c r="C13" s="11"/>
      <c r="E13" s="18" t="s">
        <v>208</v>
      </c>
      <c r="F13" s="65">
        <f ca="1">$C$37/F9</f>
        <v>38.39715576010407</v>
      </c>
      <c r="G13" s="65">
        <f ca="1">$C$37/G9</f>
        <v>36.47729797209886</v>
      </c>
      <c r="H13" s="84">
        <f ca="1">$C$37/H9</f>
        <v>34.740283782951295</v>
      </c>
    </row>
    <row r="14" spans="2:8" x14ac:dyDescent="0.2">
      <c r="B14" s="18" t="s">
        <v>59</v>
      </c>
      <c r="C14" s="11">
        <f ca="1">Worksheet!N18</f>
        <v>248.39999999999998</v>
      </c>
      <c r="E14" s="18"/>
      <c r="H14" s="7"/>
    </row>
    <row r="15" spans="2:8" x14ac:dyDescent="0.2">
      <c r="B15" s="18" t="s">
        <v>62</v>
      </c>
      <c r="C15" s="11">
        <f ca="1">SUM(Worksheet!N22:N31)</f>
        <v>118.46657500000001</v>
      </c>
      <c r="E15" s="43" t="s">
        <v>146</v>
      </c>
      <c r="F15" s="72" t="str">
        <f>CONCATENATE("-",F6*100,"%")</f>
        <v>-5%</v>
      </c>
      <c r="G15" s="72" t="s">
        <v>143</v>
      </c>
      <c r="H15" s="40" t="str">
        <f>CONCATENATE("+",F6*100,"%")</f>
        <v>+5%</v>
      </c>
    </row>
    <row r="16" spans="2:8" x14ac:dyDescent="0.2">
      <c r="B16" s="18" t="s">
        <v>72</v>
      </c>
      <c r="C16" s="11">
        <f ca="1">SUM(Worksheet!N41:N48)</f>
        <v>165.64500000000001</v>
      </c>
      <c r="E16" s="18"/>
      <c r="F16" s="65">
        <f>G16*(1-F6)</f>
        <v>37.524999999999999</v>
      </c>
      <c r="G16" s="1">
        <f>Worksheet!F7</f>
        <v>39.5</v>
      </c>
      <c r="H16" s="84">
        <f>G16*(1+F6)</f>
        <v>41.475000000000001</v>
      </c>
    </row>
    <row r="17" spans="2:8" x14ac:dyDescent="0.2">
      <c r="B17" s="18" t="s">
        <v>77</v>
      </c>
      <c r="C17" s="11">
        <f>SUM(Worksheet!N61:N70)</f>
        <v>211.68567880649144</v>
      </c>
      <c r="E17" s="18"/>
      <c r="H17" s="7"/>
    </row>
    <row r="18" spans="2:8" x14ac:dyDescent="0.2">
      <c r="B18" s="18" t="s">
        <v>86</v>
      </c>
      <c r="C18" s="11">
        <f ca="1">IF('Settings (COMPLETE ME)'!D11="Yes",SUM(Worksheet!N83:N94),0)</f>
        <v>199.238</v>
      </c>
      <c r="E18" s="18" t="s">
        <v>209</v>
      </c>
      <c r="F18" s="26">
        <f ca="1">$C$26/F16</f>
        <v>36.627740417449942</v>
      </c>
      <c r="G18" s="26">
        <f ca="1">$C$26/G16</f>
        <v>34.796353396577445</v>
      </c>
      <c r="H18" s="41">
        <f ca="1">$C$26/H16</f>
        <v>33.139384187216613</v>
      </c>
    </row>
    <row r="19" spans="2:8" x14ac:dyDescent="0.2">
      <c r="B19" s="18" t="s">
        <v>93</v>
      </c>
      <c r="C19" s="11">
        <f>Worksheet!N99</f>
        <v>122.95418181818184</v>
      </c>
      <c r="E19" s="18" t="s">
        <v>210</v>
      </c>
      <c r="F19" s="26">
        <f>$C$35/F16</f>
        <v>17.808733571558356</v>
      </c>
      <c r="G19" s="26">
        <f>$C$35/G16</f>
        <v>16.918296892980436</v>
      </c>
      <c r="H19" s="41">
        <f>$C$35/H16</f>
        <v>16.112663707600415</v>
      </c>
    </row>
    <row r="20" spans="2:8" x14ac:dyDescent="0.2">
      <c r="B20" s="18" t="s">
        <v>147</v>
      </c>
      <c r="C20" s="19">
        <f>Worksheet!N109</f>
        <v>233.05000000000004</v>
      </c>
      <c r="E20" s="18" t="s">
        <v>211</v>
      </c>
      <c r="F20" s="26">
        <f ca="1">$C$37/F16</f>
        <v>54.436473989008299</v>
      </c>
      <c r="G20" s="26">
        <f ca="1">$C$37/G16</f>
        <v>51.714650289557881</v>
      </c>
      <c r="H20" s="41">
        <f ca="1">$C$37/H16</f>
        <v>49.252047894817025</v>
      </c>
    </row>
    <row r="21" spans="2:8" ht="16" thickBot="1" x14ac:dyDescent="0.25">
      <c r="B21" s="18" t="s">
        <v>148</v>
      </c>
      <c r="C21" s="19">
        <f>Worksheet!N9</f>
        <v>0</v>
      </c>
      <c r="E21" s="44"/>
      <c r="F21" s="9"/>
      <c r="G21" s="9"/>
      <c r="H21" s="10"/>
    </row>
    <row r="22" spans="2:8" x14ac:dyDescent="0.2">
      <c r="B22" s="18" t="s">
        <v>110</v>
      </c>
      <c r="C22" s="19">
        <f>Worksheet!N130</f>
        <v>48.727272727272727</v>
      </c>
    </row>
    <row r="23" spans="2:8" x14ac:dyDescent="0.2">
      <c r="B23" s="18"/>
      <c r="C23" s="19"/>
      <c r="E23" s="23"/>
    </row>
    <row r="24" spans="2:8" x14ac:dyDescent="0.2">
      <c r="B24" s="18" t="str">
        <f>CONCATENATE("Interest on 6-Month Operating Loan @ ",'Settings (COMPLETE ME)'!D10*100,"%")</f>
        <v>Interest on 6-Month Operating Loan @ 6.5%</v>
      </c>
      <c r="C24" s="11">
        <f ca="1">IF('Settings (COMPLETE ME)'!D9&lt;&gt;0,'Settings (COMPLETE ME)'!D9*SUM('Enterprise Budget'!C14:C22)*'Settings (COMPLETE ME)'!D10*(6/12),0)</f>
        <v>26.289250812862949</v>
      </c>
    </row>
    <row r="25" spans="2:8" x14ac:dyDescent="0.2">
      <c r="B25" s="18"/>
      <c r="C25" s="11"/>
    </row>
    <row r="26" spans="2:8" x14ac:dyDescent="0.2">
      <c r="B26" s="18" t="s">
        <v>149</v>
      </c>
      <c r="C26" s="42">
        <f ca="1">SUM(C14:C24)</f>
        <v>1374.455959164809</v>
      </c>
    </row>
    <row r="27" spans="2:8" x14ac:dyDescent="0.2">
      <c r="B27" s="18"/>
      <c r="C27" s="19"/>
    </row>
    <row r="28" spans="2:8" x14ac:dyDescent="0.2">
      <c r="B28" s="43" t="s">
        <v>150</v>
      </c>
      <c r="C28" s="19"/>
    </row>
    <row r="29" spans="2:8" x14ac:dyDescent="0.2">
      <c r="B29" s="18"/>
      <c r="C29" s="19"/>
    </row>
    <row r="30" spans="2:8" x14ac:dyDescent="0.2">
      <c r="B30" s="18" t="s">
        <v>151</v>
      </c>
      <c r="C30" s="19">
        <f>Worksheet!N146</f>
        <v>203.63636363636363</v>
      </c>
    </row>
    <row r="31" spans="2:8" x14ac:dyDescent="0.2">
      <c r="B31" s="18" t="s">
        <v>125</v>
      </c>
      <c r="C31" s="19">
        <f>Worksheet!N154</f>
        <v>350.09090909090907</v>
      </c>
    </row>
    <row r="32" spans="2:8" x14ac:dyDescent="0.2">
      <c r="B32" s="18" t="s">
        <v>120</v>
      </c>
      <c r="C32" s="19">
        <f>Worksheet!N140</f>
        <v>16.363636363636363</v>
      </c>
    </row>
    <row r="33" spans="2:3" x14ac:dyDescent="0.2">
      <c r="B33" s="18" t="s">
        <v>152</v>
      </c>
      <c r="C33" s="19">
        <f>Worksheet!N136</f>
        <v>98.181818181818187</v>
      </c>
    </row>
    <row r="34" spans="2:3" x14ac:dyDescent="0.2">
      <c r="B34" s="18"/>
      <c r="C34" s="19"/>
    </row>
    <row r="35" spans="2:3" x14ac:dyDescent="0.2">
      <c r="B35" s="18" t="s">
        <v>153</v>
      </c>
      <c r="C35" s="42">
        <f>SUM(C30:C33)</f>
        <v>668.27272727272725</v>
      </c>
    </row>
    <row r="36" spans="2:3" x14ac:dyDescent="0.2">
      <c r="B36" s="18"/>
      <c r="C36" s="19"/>
    </row>
    <row r="37" spans="2:3" ht="18" x14ac:dyDescent="0.35">
      <c r="B37" s="18" t="s">
        <v>154</v>
      </c>
      <c r="C37" s="14">
        <f ca="1">C26+C35</f>
        <v>2042.7286864375362</v>
      </c>
    </row>
    <row r="38" spans="2:3" x14ac:dyDescent="0.2">
      <c r="B38" s="18"/>
      <c r="C38" s="11"/>
    </row>
    <row r="39" spans="2:3" x14ac:dyDescent="0.2">
      <c r="B39" s="18" t="s">
        <v>155</v>
      </c>
      <c r="C39" s="49">
        <f ca="1">(C10-C37)/C10</f>
        <v>7.404386231767443E-2</v>
      </c>
    </row>
    <row r="40" spans="2:3" x14ac:dyDescent="0.2">
      <c r="B40" s="43" t="s">
        <v>156</v>
      </c>
      <c r="C40" s="12">
        <f ca="1">C10-C37</f>
        <v>163.34631356246359</v>
      </c>
    </row>
    <row r="41" spans="2:3" x14ac:dyDescent="0.2">
      <c r="B41" s="6"/>
      <c r="C41" s="11"/>
    </row>
    <row r="42" spans="2:3" ht="16" thickBot="1" x14ac:dyDescent="0.25">
      <c r="B42" s="45" t="s">
        <v>157</v>
      </c>
      <c r="C42" s="13"/>
    </row>
  </sheetData>
  <sheetProtection sheet="1" objects="1" scenarios="1"/>
  <mergeCells count="6">
    <mergeCell ref="E2:H2"/>
    <mergeCell ref="E3:H3"/>
    <mergeCell ref="E4:H4"/>
    <mergeCell ref="B2:C2"/>
    <mergeCell ref="B3:C3"/>
    <mergeCell ref="B4:C4"/>
  </mergeCells>
  <dataValidations count="1">
    <dataValidation operator="greaterThan" allowBlank="1" showInputMessage="1" showErrorMessage="1" sqref="F6" xr:uid="{44FBB8B7-40DF-4024-BB73-D95158AC0E57}"/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52DF3-A134-4E72-8797-818B04BD3740}">
  <dimension ref="B1:P61"/>
  <sheetViews>
    <sheetView topLeftCell="A42" workbookViewId="0">
      <selection activeCell="B53" sqref="B53:I53"/>
    </sheetView>
  </sheetViews>
  <sheetFormatPr baseColWidth="10" defaultColWidth="8.83203125" defaultRowHeight="15" x14ac:dyDescent="0.2"/>
  <cols>
    <col min="2" max="2" width="44" bestFit="1" customWidth="1"/>
    <col min="3" max="3" width="13.6640625" bestFit="1" customWidth="1"/>
    <col min="4" max="4" width="16.6640625" bestFit="1" customWidth="1"/>
    <col min="5" max="5" width="17.6640625" bestFit="1" customWidth="1"/>
    <col min="6" max="6" width="12.1640625" customWidth="1"/>
    <col min="11" max="11" width="17.5" bestFit="1" customWidth="1"/>
  </cols>
  <sheetData>
    <row r="1" spans="2:16" ht="16" thickBot="1" x14ac:dyDescent="0.25"/>
    <row r="2" spans="2:16" x14ac:dyDescent="0.2">
      <c r="B2" s="159" t="s">
        <v>158</v>
      </c>
      <c r="C2" s="160"/>
      <c r="D2" s="160"/>
      <c r="E2" s="160"/>
      <c r="F2" s="160"/>
      <c r="G2" s="160"/>
      <c r="H2" s="160"/>
      <c r="I2" s="161"/>
      <c r="K2" s="156" t="s">
        <v>159</v>
      </c>
      <c r="L2" s="157"/>
      <c r="M2" s="158"/>
    </row>
    <row r="3" spans="2:16" ht="14.5" customHeight="1" x14ac:dyDescent="0.2">
      <c r="B3" s="162" t="s">
        <v>160</v>
      </c>
      <c r="C3" s="163"/>
      <c r="D3" s="163"/>
      <c r="E3" s="163"/>
      <c r="F3" s="163"/>
      <c r="G3" s="163"/>
      <c r="H3" s="163"/>
      <c r="I3" s="164"/>
      <c r="K3" s="6" t="s">
        <v>161</v>
      </c>
      <c r="L3" t="str">
        <f>'Settings (COMPLETE ME)'!D8</f>
        <v>Southwestern Idaho</v>
      </c>
      <c r="M3" s="7"/>
      <c r="N3" s="1"/>
      <c r="O3" s="1"/>
      <c r="P3" s="1"/>
    </row>
    <row r="4" spans="2:16" x14ac:dyDescent="0.2">
      <c r="B4" s="52" t="s">
        <v>162</v>
      </c>
      <c r="C4" s="53" t="s">
        <v>142</v>
      </c>
      <c r="D4" s="53" t="s">
        <v>55</v>
      </c>
      <c r="E4" s="53" t="s">
        <v>163</v>
      </c>
      <c r="F4" s="53" t="s">
        <v>164</v>
      </c>
      <c r="G4" s="53" t="s">
        <v>165</v>
      </c>
      <c r="H4" s="53" t="s">
        <v>166</v>
      </c>
      <c r="I4" s="54" t="s">
        <v>167</v>
      </c>
      <c r="K4" s="6" t="s">
        <v>168</v>
      </c>
      <c r="L4" s="1">
        <f>VLOOKUP(L3,K6:L9,2,FALSE)</f>
        <v>1</v>
      </c>
      <c r="M4" s="51"/>
    </row>
    <row r="5" spans="2:16" x14ac:dyDescent="0.2">
      <c r="B5" s="29" t="s">
        <v>60</v>
      </c>
      <c r="C5" s="26">
        <f ca="1">OFFSET(F5,0,$L$4)</f>
        <v>414</v>
      </c>
      <c r="D5" s="1" t="s">
        <v>169</v>
      </c>
      <c r="E5" s="1">
        <v>0.6</v>
      </c>
      <c r="F5" s="26" t="s">
        <v>170</v>
      </c>
      <c r="G5" s="26">
        <v>414</v>
      </c>
      <c r="H5" s="26">
        <v>414</v>
      </c>
      <c r="I5" s="38">
        <v>414</v>
      </c>
      <c r="K5" s="6"/>
      <c r="L5" s="1"/>
      <c r="M5" s="7"/>
    </row>
    <row r="6" spans="2:16" x14ac:dyDescent="0.2">
      <c r="B6" s="29"/>
      <c r="C6" s="26"/>
      <c r="D6" s="1"/>
      <c r="E6" s="1"/>
      <c r="F6" s="26"/>
      <c r="G6" s="26"/>
      <c r="H6" s="26"/>
      <c r="I6" s="38"/>
      <c r="K6" s="6" t="s">
        <v>171</v>
      </c>
      <c r="L6" s="1">
        <v>0</v>
      </c>
      <c r="M6" s="7"/>
    </row>
    <row r="7" spans="2:16" x14ac:dyDescent="0.2">
      <c r="B7" s="29"/>
      <c r="C7" s="1"/>
      <c r="D7" s="26"/>
      <c r="E7" s="1"/>
      <c r="F7" s="26"/>
      <c r="G7" s="26"/>
      <c r="H7" s="26"/>
      <c r="I7" s="38"/>
      <c r="K7" s="6" t="s">
        <v>172</v>
      </c>
      <c r="L7" s="1">
        <v>1</v>
      </c>
      <c r="M7" s="7"/>
    </row>
    <row r="8" spans="2:16" x14ac:dyDescent="0.2">
      <c r="B8" s="29"/>
      <c r="C8" s="1"/>
      <c r="D8" s="1"/>
      <c r="E8" s="1"/>
      <c r="F8" s="26"/>
      <c r="G8" s="26"/>
      <c r="H8" s="26"/>
      <c r="I8" s="38"/>
      <c r="K8" s="6" t="s">
        <v>28</v>
      </c>
      <c r="L8" s="1">
        <v>2</v>
      </c>
      <c r="M8" s="7"/>
    </row>
    <row r="9" spans="2:16" ht="16" thickBot="1" x14ac:dyDescent="0.25">
      <c r="B9" s="31"/>
      <c r="C9" s="27"/>
      <c r="D9" s="27"/>
      <c r="E9" s="27"/>
      <c r="F9" s="37"/>
      <c r="G9" s="37"/>
      <c r="H9" s="37"/>
      <c r="I9" s="39"/>
      <c r="K9" s="8" t="s">
        <v>173</v>
      </c>
      <c r="L9" s="24">
        <v>3</v>
      </c>
      <c r="M9" s="10"/>
    </row>
    <row r="10" spans="2:16" x14ac:dyDescent="0.2">
      <c r="F10" s="36"/>
      <c r="G10" s="36"/>
      <c r="H10" s="36"/>
      <c r="I10" s="36"/>
    </row>
    <row r="11" spans="2:16" x14ac:dyDescent="0.2">
      <c r="B11" s="159" t="s">
        <v>174</v>
      </c>
      <c r="C11" s="160"/>
      <c r="D11" s="160"/>
      <c r="E11" s="160"/>
      <c r="F11" s="160"/>
      <c r="G11" s="160"/>
      <c r="H11" s="160"/>
      <c r="I11" s="161"/>
    </row>
    <row r="12" spans="2:16" x14ac:dyDescent="0.2">
      <c r="B12" s="162" t="s">
        <v>160</v>
      </c>
      <c r="C12" s="163"/>
      <c r="D12" s="163"/>
      <c r="E12" s="163"/>
      <c r="F12" s="163"/>
      <c r="G12" s="163"/>
      <c r="H12" s="163"/>
      <c r="I12" s="164"/>
    </row>
    <row r="13" spans="2:16" x14ac:dyDescent="0.2">
      <c r="B13" s="52" t="s">
        <v>175</v>
      </c>
      <c r="C13" s="53" t="s">
        <v>142</v>
      </c>
      <c r="D13" s="53" t="s">
        <v>55</v>
      </c>
      <c r="E13" s="53" t="s">
        <v>163</v>
      </c>
      <c r="F13" s="53" t="s">
        <v>164</v>
      </c>
      <c r="G13" s="53" t="s">
        <v>165</v>
      </c>
      <c r="H13" s="53" t="s">
        <v>166</v>
      </c>
      <c r="I13" s="54" t="s">
        <v>167</v>
      </c>
    </row>
    <row r="14" spans="2:16" x14ac:dyDescent="0.2">
      <c r="B14" s="29" t="s">
        <v>69</v>
      </c>
      <c r="C14" t="str">
        <f>""</f>
        <v/>
      </c>
      <c r="D14" t="str">
        <f>""</f>
        <v/>
      </c>
      <c r="E14" t="str">
        <f>""</f>
        <v/>
      </c>
      <c r="F14" t="str">
        <f>""</f>
        <v/>
      </c>
      <c r="G14" s="26" t="str">
        <f>""</f>
        <v/>
      </c>
      <c r="H14" s="26" t="str">
        <f>""</f>
        <v/>
      </c>
      <c r="I14" s="38" t="str">
        <f>""</f>
        <v/>
      </c>
    </row>
    <row r="15" spans="2:16" x14ac:dyDescent="0.2">
      <c r="B15" s="29" t="s">
        <v>63</v>
      </c>
      <c r="C15" s="26">
        <f ca="1">OFFSET(F15,0,$L$4)</f>
        <v>1000</v>
      </c>
      <c r="D15" s="1" t="s">
        <v>176</v>
      </c>
      <c r="E15" s="1">
        <v>0.03</v>
      </c>
      <c r="F15" s="26" t="s">
        <v>170</v>
      </c>
      <c r="G15" s="26">
        <v>1000</v>
      </c>
      <c r="H15" s="26">
        <v>1000</v>
      </c>
      <c r="I15" s="38">
        <v>1000</v>
      </c>
    </row>
    <row r="16" spans="2:16" x14ac:dyDescent="0.2">
      <c r="B16" s="29" t="s">
        <v>64</v>
      </c>
      <c r="C16" s="26">
        <f t="shared" ref="C16:C21" ca="1" si="0">OFFSET(F16,0,$L$4)</f>
        <v>1065</v>
      </c>
      <c r="D16" s="1" t="s">
        <v>176</v>
      </c>
      <c r="E16" s="1">
        <v>2.2499999999999999E-2</v>
      </c>
      <c r="F16" s="26" t="s">
        <v>170</v>
      </c>
      <c r="G16" s="26">
        <v>1065</v>
      </c>
      <c r="H16" s="26">
        <v>1065</v>
      </c>
      <c r="I16" s="38">
        <v>1065</v>
      </c>
    </row>
    <row r="17" spans="2:9" x14ac:dyDescent="0.2">
      <c r="B17" s="29" t="s">
        <v>65</v>
      </c>
      <c r="C17" s="26">
        <f t="shared" ca="1" si="0"/>
        <v>900</v>
      </c>
      <c r="D17" s="1" t="s">
        <v>176</v>
      </c>
      <c r="E17" s="1">
        <v>3.2500000000000001E-2</v>
      </c>
      <c r="F17" s="26" t="s">
        <v>170</v>
      </c>
      <c r="G17" s="26">
        <v>900</v>
      </c>
      <c r="H17" s="26">
        <v>900</v>
      </c>
      <c r="I17" s="38">
        <v>900</v>
      </c>
    </row>
    <row r="18" spans="2:9" x14ac:dyDescent="0.2">
      <c r="B18" s="29" t="s">
        <v>66</v>
      </c>
      <c r="C18" s="26">
        <f t="shared" ca="1" si="0"/>
        <v>718.33</v>
      </c>
      <c r="D18" s="1" t="s">
        <v>176</v>
      </c>
      <c r="E18" s="1">
        <v>2.75E-2</v>
      </c>
      <c r="F18" s="26" t="s">
        <v>170</v>
      </c>
      <c r="G18" s="26">
        <v>718.33</v>
      </c>
      <c r="H18" s="26">
        <v>718.33</v>
      </c>
      <c r="I18" s="38">
        <v>718.33</v>
      </c>
    </row>
    <row r="19" spans="2:9" x14ac:dyDescent="0.2">
      <c r="B19" s="29" t="s">
        <v>177</v>
      </c>
      <c r="C19" s="26">
        <f t="shared" ca="1" si="0"/>
        <v>13</v>
      </c>
      <c r="D19" s="1" t="s">
        <v>178</v>
      </c>
      <c r="E19" s="1">
        <v>1</v>
      </c>
      <c r="F19" s="26" t="s">
        <v>170</v>
      </c>
      <c r="G19" s="26">
        <v>13</v>
      </c>
      <c r="H19" s="26">
        <v>13</v>
      </c>
      <c r="I19" s="38">
        <v>13</v>
      </c>
    </row>
    <row r="20" spans="2:9" x14ac:dyDescent="0.2">
      <c r="B20" s="29" t="s">
        <v>67</v>
      </c>
      <c r="C20" s="26">
        <f t="shared" ca="1" si="0"/>
        <v>8</v>
      </c>
      <c r="D20" s="1" t="s">
        <v>178</v>
      </c>
      <c r="E20" s="1">
        <v>1</v>
      </c>
      <c r="F20" s="26" t="s">
        <v>170</v>
      </c>
      <c r="G20" s="26">
        <v>8</v>
      </c>
      <c r="H20" s="26">
        <v>8</v>
      </c>
      <c r="I20" s="38">
        <v>8</v>
      </c>
    </row>
    <row r="21" spans="2:9" x14ac:dyDescent="0.2">
      <c r="B21" s="29" t="s">
        <v>68</v>
      </c>
      <c r="C21" s="26">
        <f t="shared" ca="1" si="0"/>
        <v>7.5</v>
      </c>
      <c r="D21" s="1" t="s">
        <v>178</v>
      </c>
      <c r="E21" s="1">
        <v>1</v>
      </c>
      <c r="F21" s="26" t="s">
        <v>170</v>
      </c>
      <c r="G21" s="26">
        <v>7.5</v>
      </c>
      <c r="H21" s="26">
        <v>7.5</v>
      </c>
      <c r="I21" s="38">
        <v>7.5</v>
      </c>
    </row>
    <row r="22" spans="2:9" x14ac:dyDescent="0.2">
      <c r="B22" s="29"/>
      <c r="C22" s="1"/>
      <c r="D22" s="1"/>
      <c r="E22" s="1"/>
      <c r="F22" s="26"/>
      <c r="G22" s="26"/>
      <c r="H22" s="26"/>
      <c r="I22" s="38"/>
    </row>
    <row r="23" spans="2:9" x14ac:dyDescent="0.2">
      <c r="B23" s="31"/>
      <c r="C23" s="27"/>
      <c r="D23" s="27"/>
      <c r="E23" s="27"/>
      <c r="F23" s="37"/>
      <c r="G23" s="37"/>
      <c r="H23" s="37"/>
      <c r="I23" s="39"/>
    </row>
    <row r="25" spans="2:9" x14ac:dyDescent="0.2">
      <c r="B25" s="159" t="s">
        <v>179</v>
      </c>
      <c r="C25" s="160"/>
      <c r="D25" s="160"/>
      <c r="E25" s="160"/>
      <c r="F25" s="160"/>
      <c r="G25" s="160"/>
      <c r="H25" s="160"/>
      <c r="I25" s="161"/>
    </row>
    <row r="26" spans="2:9" x14ac:dyDescent="0.2">
      <c r="B26" s="162" t="s">
        <v>160</v>
      </c>
      <c r="C26" s="163"/>
      <c r="D26" s="163"/>
      <c r="E26" s="163"/>
      <c r="F26" s="163"/>
      <c r="G26" s="163"/>
      <c r="H26" s="163"/>
      <c r="I26" s="164"/>
    </row>
    <row r="27" spans="2:9" x14ac:dyDescent="0.2">
      <c r="B27" s="52" t="s">
        <v>180</v>
      </c>
      <c r="C27" s="53" t="s">
        <v>142</v>
      </c>
      <c r="D27" s="53" t="s">
        <v>55</v>
      </c>
      <c r="E27" s="53" t="s">
        <v>163</v>
      </c>
      <c r="F27" s="53" t="s">
        <v>164</v>
      </c>
      <c r="G27" s="53" t="s">
        <v>165</v>
      </c>
      <c r="H27" s="53" t="s">
        <v>166</v>
      </c>
      <c r="I27" s="54" t="s">
        <v>167</v>
      </c>
    </row>
    <row r="28" spans="2:9" x14ac:dyDescent="0.2">
      <c r="B28" s="29" t="s">
        <v>69</v>
      </c>
      <c r="C28" t="str">
        <f>""</f>
        <v/>
      </c>
      <c r="D28" t="str">
        <f>""</f>
        <v/>
      </c>
      <c r="E28" t="str">
        <f>""</f>
        <v/>
      </c>
      <c r="F28" t="str">
        <f>""</f>
        <v/>
      </c>
      <c r="G28" t="str">
        <f>""</f>
        <v/>
      </c>
      <c r="H28" t="str">
        <f>""</f>
        <v/>
      </c>
      <c r="I28" s="48" t="str">
        <f>""</f>
        <v/>
      </c>
    </row>
    <row r="29" spans="2:9" x14ac:dyDescent="0.2">
      <c r="B29" s="29" t="s">
        <v>73</v>
      </c>
      <c r="C29" s="26">
        <f ca="1">OFFSET(F29,0,$L$4)</f>
        <v>60</v>
      </c>
      <c r="D29" s="1" t="s">
        <v>181</v>
      </c>
      <c r="E29" s="1">
        <v>0.42199999999999999</v>
      </c>
      <c r="F29" s="26" t="s">
        <v>170</v>
      </c>
      <c r="G29" s="26">
        <v>60</v>
      </c>
      <c r="H29" s="26">
        <v>60</v>
      </c>
      <c r="I29" s="38">
        <v>60</v>
      </c>
    </row>
    <row r="30" spans="2:9" x14ac:dyDescent="0.2">
      <c r="B30" s="29" t="s">
        <v>74</v>
      </c>
      <c r="C30" s="26">
        <f t="shared" ref="C30:C37" ca="1" si="1">OFFSET(F30,0,$L$4)</f>
        <v>17.71</v>
      </c>
      <c r="D30" s="1" t="s">
        <v>181</v>
      </c>
      <c r="E30" s="1">
        <v>5</v>
      </c>
      <c r="F30" s="26" t="s">
        <v>170</v>
      </c>
      <c r="G30" s="26">
        <v>17.71</v>
      </c>
      <c r="H30" s="26">
        <v>10.28</v>
      </c>
      <c r="I30" s="38">
        <v>10.28</v>
      </c>
    </row>
    <row r="31" spans="2:9" x14ac:dyDescent="0.2">
      <c r="B31" s="29" t="s">
        <v>182</v>
      </c>
      <c r="C31" s="26">
        <f t="shared" ca="1" si="1"/>
        <v>221.79</v>
      </c>
      <c r="D31" s="1" t="s">
        <v>181</v>
      </c>
      <c r="E31" s="1">
        <v>6.25E-2</v>
      </c>
      <c r="F31" s="26" t="s">
        <v>170</v>
      </c>
      <c r="G31" s="26">
        <v>221.79</v>
      </c>
      <c r="H31" s="26">
        <v>105.43</v>
      </c>
      <c r="I31" s="38">
        <v>105.43</v>
      </c>
    </row>
    <row r="32" spans="2:9" x14ac:dyDescent="0.2">
      <c r="B32" s="29" t="s">
        <v>75</v>
      </c>
      <c r="C32" s="26">
        <f t="shared" ca="1" si="1"/>
        <v>475</v>
      </c>
      <c r="D32" s="1" t="s">
        <v>181</v>
      </c>
      <c r="E32" s="1">
        <v>0.109</v>
      </c>
      <c r="F32" s="26" t="s">
        <v>170</v>
      </c>
      <c r="G32" s="26">
        <v>475</v>
      </c>
      <c r="H32" s="26">
        <v>390.85</v>
      </c>
      <c r="I32" s="38">
        <v>390.85</v>
      </c>
    </row>
    <row r="33" spans="2:9" x14ac:dyDescent="0.2">
      <c r="B33" s="29" t="s">
        <v>183</v>
      </c>
      <c r="C33" s="26">
        <f t="shared" ca="1" si="1"/>
        <v>548.79999999999995</v>
      </c>
      <c r="D33" s="1" t="s">
        <v>181</v>
      </c>
      <c r="E33" s="1">
        <v>0.313</v>
      </c>
      <c r="F33" s="26" t="s">
        <v>170</v>
      </c>
      <c r="G33" s="26">
        <v>548.79999999999995</v>
      </c>
      <c r="H33" s="26">
        <v>435.9</v>
      </c>
      <c r="I33" s="38">
        <v>435.9</v>
      </c>
    </row>
    <row r="34" spans="2:9" x14ac:dyDescent="0.2">
      <c r="B34" s="29" t="s">
        <v>184</v>
      </c>
      <c r="C34" s="26">
        <f t="shared" ca="1" si="1"/>
        <v>463.87</v>
      </c>
      <c r="D34" s="1" t="s">
        <v>181</v>
      </c>
      <c r="E34" s="1">
        <v>0.20300000000000001</v>
      </c>
      <c r="F34" s="26" t="s">
        <v>170</v>
      </c>
      <c r="G34" s="26">
        <v>463.87</v>
      </c>
      <c r="H34" s="26">
        <v>355.14</v>
      </c>
      <c r="I34" s="38">
        <v>355.14</v>
      </c>
    </row>
    <row r="35" spans="2:9" x14ac:dyDescent="0.2">
      <c r="B35" s="29" t="s">
        <v>185</v>
      </c>
      <c r="C35" s="26">
        <f t="shared" ca="1" si="1"/>
        <v>1060.46</v>
      </c>
      <c r="D35" s="1" t="s">
        <v>181</v>
      </c>
      <c r="E35" s="1">
        <v>0.21099999999999999</v>
      </c>
      <c r="F35" s="26" t="s">
        <v>170</v>
      </c>
      <c r="G35" s="26">
        <v>1060.46</v>
      </c>
      <c r="H35" s="26">
        <v>1233.7</v>
      </c>
      <c r="I35" s="38">
        <v>1233.7</v>
      </c>
    </row>
    <row r="36" spans="2:9" x14ac:dyDescent="0.2">
      <c r="B36" s="29" t="s">
        <v>186</v>
      </c>
      <c r="C36" s="26">
        <f t="shared" ca="1" si="1"/>
        <v>167.83</v>
      </c>
      <c r="D36" s="1" t="s">
        <v>181</v>
      </c>
      <c r="E36" s="1">
        <v>0.16400000000000001</v>
      </c>
      <c r="F36" s="26" t="s">
        <v>170</v>
      </c>
      <c r="G36" s="26">
        <v>167.83</v>
      </c>
      <c r="H36" s="26">
        <v>129.22999999999999</v>
      </c>
      <c r="I36" s="38">
        <v>129.22999999999999</v>
      </c>
    </row>
    <row r="37" spans="2:9" x14ac:dyDescent="0.2">
      <c r="B37" s="29" t="s">
        <v>187</v>
      </c>
      <c r="C37" s="26">
        <f t="shared" ca="1" si="1"/>
        <v>82.53</v>
      </c>
      <c r="D37" s="1" t="s">
        <v>181</v>
      </c>
      <c r="E37" s="1">
        <v>0.20899999999999999</v>
      </c>
      <c r="F37" s="26" t="s">
        <v>170</v>
      </c>
      <c r="G37" s="26">
        <v>82.53</v>
      </c>
      <c r="H37" s="26">
        <v>44.9</v>
      </c>
      <c r="I37" s="38">
        <v>44.9</v>
      </c>
    </row>
    <row r="38" spans="2:9" x14ac:dyDescent="0.2">
      <c r="B38" s="33"/>
      <c r="F38" s="1"/>
      <c r="G38" s="1"/>
      <c r="H38" s="1"/>
      <c r="I38" s="30"/>
    </row>
    <row r="39" spans="2:9" x14ac:dyDescent="0.2">
      <c r="B39" s="34"/>
      <c r="C39" s="70"/>
      <c r="D39" s="70"/>
      <c r="E39" s="70"/>
      <c r="F39" s="27"/>
      <c r="G39" s="27"/>
      <c r="H39" s="27"/>
      <c r="I39" s="32"/>
    </row>
    <row r="41" spans="2:9" x14ac:dyDescent="0.2">
      <c r="B41" s="159" t="s">
        <v>188</v>
      </c>
      <c r="C41" s="160"/>
      <c r="D41" s="160"/>
      <c r="E41" s="160"/>
      <c r="F41" s="160"/>
      <c r="G41" s="160"/>
      <c r="H41" s="160"/>
      <c r="I41" s="161"/>
    </row>
    <row r="42" spans="2:9" x14ac:dyDescent="0.2">
      <c r="B42" s="162" t="s">
        <v>160</v>
      </c>
      <c r="C42" s="163"/>
      <c r="D42" s="163"/>
      <c r="E42" s="163"/>
      <c r="F42" s="163"/>
      <c r="G42" s="163"/>
      <c r="H42" s="163"/>
      <c r="I42" s="164"/>
    </row>
    <row r="43" spans="2:9" x14ac:dyDescent="0.2">
      <c r="B43" s="52" t="s">
        <v>162</v>
      </c>
      <c r="C43" s="53" t="s">
        <v>78</v>
      </c>
      <c r="D43" s="53" t="s">
        <v>79</v>
      </c>
      <c r="E43" s="53" t="s">
        <v>80</v>
      </c>
      <c r="F43" s="46"/>
      <c r="G43" s="53"/>
      <c r="H43" s="46"/>
      <c r="I43" s="54"/>
    </row>
    <row r="44" spans="2:9" x14ac:dyDescent="0.2">
      <c r="B44" s="29" t="s">
        <v>69</v>
      </c>
      <c r="C44" s="72" t="str">
        <f>""</f>
        <v/>
      </c>
      <c r="D44" s="72" t="str">
        <f>""</f>
        <v/>
      </c>
      <c r="E44" s="72" t="str">
        <f>""</f>
        <v/>
      </c>
      <c r="G44" s="72"/>
      <c r="I44" s="73"/>
    </row>
    <row r="45" spans="2:9" x14ac:dyDescent="0.2">
      <c r="B45" s="33" t="s">
        <v>81</v>
      </c>
      <c r="C45" s="26">
        <v>15.757262510602205</v>
      </c>
      <c r="D45" s="26">
        <v>18.120851887192536</v>
      </c>
      <c r="E45" s="1">
        <v>1.74</v>
      </c>
      <c r="G45" s="26" t="str">
        <f>""</f>
        <v/>
      </c>
      <c r="I45" s="38" t="str">
        <f>""</f>
        <v/>
      </c>
    </row>
    <row r="46" spans="2:9" x14ac:dyDescent="0.2">
      <c r="B46" s="33" t="s">
        <v>82</v>
      </c>
      <c r="C46" s="26">
        <v>20.882790957245149</v>
      </c>
      <c r="D46" s="26">
        <v>24.01520960083192</v>
      </c>
      <c r="E46" s="1">
        <v>2.88</v>
      </c>
      <c r="G46" s="26"/>
      <c r="I46" s="38"/>
    </row>
    <row r="47" spans="2:9" x14ac:dyDescent="0.2">
      <c r="B47" s="33" t="s">
        <v>83</v>
      </c>
      <c r="C47" s="26">
        <v>19.059351187003358</v>
      </c>
      <c r="D47" s="26">
        <v>24.777156543104365</v>
      </c>
      <c r="E47" s="1">
        <v>1.4</v>
      </c>
      <c r="G47" s="26"/>
      <c r="I47" s="38"/>
    </row>
    <row r="48" spans="2:9" x14ac:dyDescent="0.2">
      <c r="B48" s="33" t="s">
        <v>189</v>
      </c>
      <c r="C48" s="26">
        <v>19.059351187003358</v>
      </c>
      <c r="D48" s="26">
        <v>23.824188983754198</v>
      </c>
      <c r="E48" s="1">
        <v>1.4</v>
      </c>
      <c r="G48" s="26"/>
      <c r="I48" s="38"/>
    </row>
    <row r="49" spans="2:9" x14ac:dyDescent="0.2">
      <c r="B49" s="33" t="s">
        <v>84</v>
      </c>
      <c r="C49" s="26">
        <v>17.848789172405709</v>
      </c>
      <c r="D49" s="26">
        <v>22.310986465507135</v>
      </c>
      <c r="E49" s="1">
        <v>3.42</v>
      </c>
      <c r="G49" s="26"/>
      <c r="I49" s="38"/>
    </row>
    <row r="50" spans="2:9" x14ac:dyDescent="0.2">
      <c r="B50" s="33" t="s">
        <v>190</v>
      </c>
      <c r="C50" s="26">
        <v>15</v>
      </c>
      <c r="D50" s="26">
        <v>17.25</v>
      </c>
      <c r="E50" s="1">
        <v>1</v>
      </c>
      <c r="G50" s="26"/>
      <c r="I50" s="38"/>
    </row>
    <row r="51" spans="2:9" x14ac:dyDescent="0.2">
      <c r="B51" s="31"/>
      <c r="C51" s="27"/>
      <c r="D51" s="27"/>
      <c r="E51" s="27"/>
      <c r="F51" s="37"/>
      <c r="G51" s="37"/>
      <c r="H51" s="37"/>
      <c r="I51" s="39"/>
    </row>
    <row r="53" spans="2:9" x14ac:dyDescent="0.2">
      <c r="B53" s="159" t="s">
        <v>191</v>
      </c>
      <c r="C53" s="160"/>
      <c r="D53" s="160"/>
      <c r="E53" s="160"/>
      <c r="F53" s="160"/>
      <c r="G53" s="160"/>
      <c r="H53" s="160"/>
      <c r="I53" s="161"/>
    </row>
    <row r="54" spans="2:9" x14ac:dyDescent="0.2">
      <c r="B54" s="162" t="s">
        <v>160</v>
      </c>
      <c r="C54" s="163"/>
      <c r="D54" s="163"/>
      <c r="E54" s="163"/>
      <c r="F54" s="163"/>
      <c r="G54" s="163"/>
      <c r="H54" s="163"/>
      <c r="I54" s="164"/>
    </row>
    <row r="55" spans="2:9" x14ac:dyDescent="0.2">
      <c r="B55" s="52" t="s">
        <v>192</v>
      </c>
      <c r="C55" s="53" t="s">
        <v>142</v>
      </c>
      <c r="D55" s="53" t="s">
        <v>55</v>
      </c>
      <c r="E55" s="53" t="s">
        <v>163</v>
      </c>
      <c r="F55" s="53" t="s">
        <v>164</v>
      </c>
      <c r="G55" s="53" t="s">
        <v>165</v>
      </c>
      <c r="H55" s="53" t="s">
        <v>166</v>
      </c>
      <c r="I55" s="54" t="s">
        <v>167</v>
      </c>
    </row>
    <row r="56" spans="2:9" x14ac:dyDescent="0.2">
      <c r="B56" s="29" t="s">
        <v>69</v>
      </c>
      <c r="C56" s="72" t="str">
        <f>""</f>
        <v/>
      </c>
      <c r="D56" s="72" t="str">
        <f>""</f>
        <v/>
      </c>
      <c r="E56" s="72" t="str">
        <f>""</f>
        <v/>
      </c>
      <c r="F56" s="1" t="str">
        <f>""</f>
        <v/>
      </c>
      <c r="G56" s="81" t="str">
        <f>""</f>
        <v/>
      </c>
      <c r="H56" s="26" t="str">
        <f>""</f>
        <v/>
      </c>
      <c r="I56" s="82" t="str">
        <f>""</f>
        <v/>
      </c>
    </row>
    <row r="57" spans="2:9" x14ac:dyDescent="0.2">
      <c r="B57" s="33" t="s">
        <v>89</v>
      </c>
      <c r="C57" s="26">
        <f ca="1">OFFSET(F57,0,$L$4)</f>
        <v>6.57</v>
      </c>
      <c r="D57" s="26" t="s">
        <v>193</v>
      </c>
      <c r="E57" s="83">
        <v>17.399999999999999</v>
      </c>
      <c r="F57" s="1" t="s">
        <v>170</v>
      </c>
      <c r="G57" s="26">
        <v>6.57</v>
      </c>
      <c r="H57" s="26">
        <v>6.57</v>
      </c>
      <c r="I57" s="38">
        <v>6.57</v>
      </c>
    </row>
    <row r="58" spans="2:9" x14ac:dyDescent="0.2">
      <c r="B58" s="33" t="s">
        <v>90</v>
      </c>
      <c r="C58" s="26">
        <f t="shared" ref="C58:C60" ca="1" si="2">OFFSET(F58,0,$L$4)</f>
        <v>64.92</v>
      </c>
      <c r="D58" s="26" t="s">
        <v>194</v>
      </c>
      <c r="E58" s="1">
        <v>1</v>
      </c>
      <c r="F58" s="1" t="s">
        <v>170</v>
      </c>
      <c r="G58" s="26">
        <v>64.92</v>
      </c>
      <c r="H58" s="26">
        <v>76</v>
      </c>
      <c r="I58" s="38">
        <v>32.71</v>
      </c>
    </row>
    <row r="59" spans="2:9" x14ac:dyDescent="0.2">
      <c r="B59" s="33" t="s">
        <v>195</v>
      </c>
      <c r="C59" s="26">
        <f t="shared" ca="1" si="2"/>
        <v>0</v>
      </c>
      <c r="D59" s="26" t="s">
        <v>194</v>
      </c>
      <c r="E59" s="1">
        <v>1</v>
      </c>
      <c r="F59" s="1" t="s">
        <v>170</v>
      </c>
      <c r="G59" s="26">
        <v>0</v>
      </c>
      <c r="H59" s="26">
        <v>0</v>
      </c>
      <c r="I59" s="38">
        <v>0</v>
      </c>
    </row>
    <row r="60" spans="2:9" x14ac:dyDescent="0.2">
      <c r="B60" s="33" t="s">
        <v>91</v>
      </c>
      <c r="C60" s="26">
        <f t="shared" ca="1" si="2"/>
        <v>20</v>
      </c>
      <c r="D60" s="26" t="s">
        <v>194</v>
      </c>
      <c r="E60" s="1">
        <v>1</v>
      </c>
      <c r="F60" s="1" t="s">
        <v>170</v>
      </c>
      <c r="G60" s="26">
        <v>20</v>
      </c>
      <c r="H60" s="26">
        <v>20</v>
      </c>
      <c r="I60" s="38">
        <v>20</v>
      </c>
    </row>
    <row r="61" spans="2:9" x14ac:dyDescent="0.2">
      <c r="B61" s="31"/>
      <c r="C61" s="27"/>
      <c r="D61" s="27"/>
      <c r="E61" s="27"/>
      <c r="F61" s="37"/>
      <c r="G61" s="37"/>
      <c r="H61" s="37"/>
      <c r="I61" s="39"/>
    </row>
  </sheetData>
  <mergeCells count="11">
    <mergeCell ref="B42:I42"/>
    <mergeCell ref="B53:I53"/>
    <mergeCell ref="B54:I54"/>
    <mergeCell ref="B12:I12"/>
    <mergeCell ref="B25:I25"/>
    <mergeCell ref="B26:I26"/>
    <mergeCell ref="K2:M2"/>
    <mergeCell ref="B41:I41"/>
    <mergeCell ref="B2:I2"/>
    <mergeCell ref="B3:I3"/>
    <mergeCell ref="B11:I1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06B4A-9BFE-4083-B930-4390C262188D}">
  <dimension ref="B4:J21"/>
  <sheetViews>
    <sheetView workbookViewId="0">
      <selection activeCell="D12" sqref="D12"/>
    </sheetView>
  </sheetViews>
  <sheetFormatPr baseColWidth="10" defaultColWidth="8.83203125" defaultRowHeight="15" x14ac:dyDescent="0.2"/>
  <cols>
    <col min="2" max="2" width="17.6640625" style="1" bestFit="1" customWidth="1"/>
    <col min="4" max="4" width="16.83203125" bestFit="1" customWidth="1"/>
    <col min="6" max="6" width="32.33203125" bestFit="1" customWidth="1"/>
    <col min="8" max="8" width="17.33203125" style="1" bestFit="1" customWidth="1"/>
    <col min="10" max="10" width="28.6640625" customWidth="1"/>
    <col min="11" max="11" width="8.83203125" customWidth="1"/>
  </cols>
  <sheetData>
    <row r="4" spans="2:10" s="4" customFormat="1" x14ac:dyDescent="0.2">
      <c r="B4" s="2" t="s">
        <v>196</v>
      </c>
      <c r="D4" s="2" t="s">
        <v>197</v>
      </c>
      <c r="E4" s="2"/>
      <c r="F4" s="2" t="s">
        <v>198</v>
      </c>
      <c r="G4" s="2"/>
      <c r="H4" s="2" t="s">
        <v>199</v>
      </c>
      <c r="I4" s="2"/>
      <c r="J4" s="2" t="s">
        <v>200</v>
      </c>
    </row>
    <row r="5" spans="2:10" x14ac:dyDescent="0.2">
      <c r="B5" s="1" t="s">
        <v>1</v>
      </c>
      <c r="D5" s="1" t="s">
        <v>36</v>
      </c>
      <c r="E5" s="1"/>
      <c r="F5" t="s">
        <v>201</v>
      </c>
      <c r="H5" s="17">
        <v>0</v>
      </c>
      <c r="J5" s="1" t="s">
        <v>171</v>
      </c>
    </row>
    <row r="6" spans="2:10" x14ac:dyDescent="0.2">
      <c r="B6" s="1" t="s">
        <v>202</v>
      </c>
      <c r="D6" s="1" t="s">
        <v>203</v>
      </c>
      <c r="E6" s="1"/>
      <c r="F6" t="s">
        <v>204</v>
      </c>
      <c r="H6" s="5">
        <v>0.1</v>
      </c>
      <c r="J6" s="1" t="s">
        <v>172</v>
      </c>
    </row>
    <row r="7" spans="2:10" x14ac:dyDescent="0.2">
      <c r="B7" s="1" t="s">
        <v>205</v>
      </c>
      <c r="D7" s="1"/>
      <c r="E7" s="1"/>
      <c r="H7" s="5">
        <v>0.2</v>
      </c>
      <c r="J7" s="1" t="s">
        <v>28</v>
      </c>
    </row>
    <row r="8" spans="2:10" x14ac:dyDescent="0.2">
      <c r="D8" s="1"/>
      <c r="E8" s="1"/>
      <c r="H8" s="5">
        <v>0.3</v>
      </c>
      <c r="J8" s="1" t="s">
        <v>173</v>
      </c>
    </row>
    <row r="9" spans="2:10" x14ac:dyDescent="0.2">
      <c r="D9" s="1"/>
      <c r="E9" s="1"/>
      <c r="H9" s="5">
        <v>0.4</v>
      </c>
    </row>
    <row r="10" spans="2:10" x14ac:dyDescent="0.2">
      <c r="D10" s="1"/>
      <c r="E10" s="1"/>
      <c r="H10" s="5">
        <v>0.5</v>
      </c>
    </row>
    <row r="11" spans="2:10" x14ac:dyDescent="0.2">
      <c r="D11" s="1"/>
      <c r="E11" s="1"/>
      <c r="H11" s="5">
        <v>0.6</v>
      </c>
    </row>
    <row r="12" spans="2:10" x14ac:dyDescent="0.2">
      <c r="D12" s="1"/>
      <c r="E12" s="1"/>
      <c r="H12" s="5">
        <v>0.7</v>
      </c>
    </row>
    <row r="13" spans="2:10" x14ac:dyDescent="0.2">
      <c r="D13" s="1"/>
      <c r="E13" s="1"/>
      <c r="H13" s="5">
        <v>0.8</v>
      </c>
    </row>
    <row r="14" spans="2:10" x14ac:dyDescent="0.2">
      <c r="D14" s="1"/>
      <c r="E14" s="1"/>
      <c r="H14" s="5">
        <v>0.9</v>
      </c>
    </row>
    <row r="15" spans="2:10" x14ac:dyDescent="0.2">
      <c r="D15" s="1"/>
      <c r="E15" s="1"/>
      <c r="H15" s="5">
        <v>1</v>
      </c>
    </row>
    <row r="16" spans="2:10" x14ac:dyDescent="0.2">
      <c r="D16" s="1"/>
      <c r="E16" s="1"/>
    </row>
    <row r="17" spans="4:5" x14ac:dyDescent="0.2">
      <c r="D17" s="1"/>
      <c r="E17" s="1"/>
    </row>
    <row r="18" spans="4:5" x14ac:dyDescent="0.2">
      <c r="D18" s="1"/>
      <c r="E18" s="1"/>
    </row>
    <row r="19" spans="4:5" x14ac:dyDescent="0.2">
      <c r="D19" s="1"/>
      <c r="E19" s="1"/>
    </row>
    <row r="20" spans="4:5" x14ac:dyDescent="0.2">
      <c r="D20" s="1"/>
      <c r="E20" s="1"/>
    </row>
    <row r="21" spans="4:5" x14ac:dyDescent="0.2">
      <c r="D21" s="1"/>
      <c r="E2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E4C1031581DD4EB32754534BBA9C3E" ma:contentTypeVersion="13" ma:contentTypeDescription="Create a new document." ma:contentTypeScope="" ma:versionID="c93de79e4892258d1fd1dac7c6e30bb1">
  <xsd:schema xmlns:xsd="http://www.w3.org/2001/XMLSchema" xmlns:xs="http://www.w3.org/2001/XMLSchema" xmlns:p="http://schemas.microsoft.com/office/2006/metadata/properties" xmlns:ns3="db77da2e-63da-43e9-9a10-7d4ebd72bc3b" xmlns:ns4="90680acb-8a67-4548-be5b-1a55f914aa6f" targetNamespace="http://schemas.microsoft.com/office/2006/metadata/properties" ma:root="true" ma:fieldsID="e74ac6955c74daa94e386257be593dba" ns3:_="" ns4:_="">
    <xsd:import namespace="db77da2e-63da-43e9-9a10-7d4ebd72bc3b"/>
    <xsd:import namespace="90680acb-8a67-4548-be5b-1a55f914aa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7da2e-63da-43e9-9a10-7d4ebd72bc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80acb-8a67-4548-be5b-1a55f914aa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BCA54-763B-43A3-ACCB-D3065EEB0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7da2e-63da-43e9-9a10-7d4ebd72bc3b"/>
    <ds:schemaRef ds:uri="90680acb-8a67-4548-be5b-1a55f914a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536CD-C3D2-4B9E-991F-1CC44F268365}">
  <ds:schemaRefs>
    <ds:schemaRef ds:uri="http://purl.org/dc/terms/"/>
    <ds:schemaRef ds:uri="http://schemas.openxmlformats.org/package/2006/metadata/core-properties"/>
    <ds:schemaRef ds:uri="90680acb-8a67-4548-be5b-1a55f914aa6f"/>
    <ds:schemaRef ds:uri="db77da2e-63da-43e9-9a10-7d4ebd72bc3b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CE2D5F4-B453-44F4-92C3-348E87A6E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 &amp; Instructions</vt:lpstr>
      <vt:lpstr>Settings (COMPLETE ME)</vt:lpstr>
      <vt:lpstr>Worksheet</vt:lpstr>
      <vt:lpstr>Enterprise Budget</vt:lpstr>
      <vt:lpstr>Worksheet Inputs (HIDE)</vt:lpstr>
      <vt:lpstr>Misc Menu Items (HIDE)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Tyler Hand</dc:creator>
  <cp:keywords/>
  <dc:description/>
  <cp:lastModifiedBy>Patrick Hatzenbuehler</cp:lastModifiedBy>
  <cp:revision/>
  <dcterms:created xsi:type="dcterms:W3CDTF">2022-04-12T22:23:53Z</dcterms:created>
  <dcterms:modified xsi:type="dcterms:W3CDTF">2022-09-07T16:55:29Z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0x01010024E4C1031581DD4EB32754534BBA9C3E</vt:lpwstr>
  </property>
</Properties>
</file>