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painter\Dropbox\AERS\AEES\"/>
    </mc:Choice>
  </mc:AlternateContent>
  <bookViews>
    <workbookView xWindow="5535" yWindow="105" windowWidth="6060" windowHeight="6330" tabRatio="734" activeTab="3"/>
  </bookViews>
  <sheets>
    <sheet name="NOTES" sheetId="5" r:id="rId1"/>
    <sheet name="Budget worksheets" sheetId="4" r:id="rId2"/>
    <sheet name="Stocking Rate Equations" sheetId="1" r:id="rId3"/>
    <sheet name="Buy-Sell Report" sheetId="2" r:id="rId4"/>
  </sheets>
  <definedNames>
    <definedName name="Dry_Pasture">'Buy-Sell Report'!$A$84:$J$143</definedName>
    <definedName name="Irrigated_Pasture">'Buy-Sell Report'!$A$1:$J$65</definedName>
    <definedName name="_xlnm.Print_Area" localSheetId="1">'Budget worksheets'!$A$1:$R$48</definedName>
    <definedName name="_xlnm.Print_Area" localSheetId="3">'Buy-Sell Report'!$A$1:$J$67</definedName>
    <definedName name="_xlnm.Print_Area" localSheetId="2">'Stocking Rate Equations'!$A$1:$K$39</definedName>
  </definedNames>
  <calcPr calcId="152511"/>
</workbook>
</file>

<file path=xl/calcChain.xml><?xml version="1.0" encoding="utf-8"?>
<calcChain xmlns="http://schemas.openxmlformats.org/spreadsheetml/2006/main">
  <c r="N9" i="4" l="1"/>
  <c r="X36" i="4"/>
  <c r="X13" i="4"/>
  <c r="X24" i="4"/>
  <c r="N5" i="4" s="1"/>
  <c r="X45" i="4"/>
  <c r="X44" i="4"/>
  <c r="X43" i="4"/>
  <c r="X42" i="4"/>
  <c r="X41" i="4"/>
  <c r="X40" i="4"/>
  <c r="X39" i="4"/>
  <c r="X38" i="4"/>
  <c r="X35" i="4"/>
  <c r="X34" i="4"/>
  <c r="X33" i="4"/>
  <c r="X32" i="4"/>
  <c r="X31" i="4"/>
  <c r="X29" i="4" s="1"/>
  <c r="N8" i="4" s="1"/>
  <c r="X30" i="4"/>
  <c r="X28" i="4"/>
  <c r="X27" i="4"/>
  <c r="X26" i="4"/>
  <c r="X25" i="4"/>
  <c r="X23" i="4"/>
  <c r="X22" i="4"/>
  <c r="X21" i="4"/>
  <c r="X20" i="4"/>
  <c r="X19" i="4" s="1"/>
  <c r="N6" i="4" s="1"/>
  <c r="X18" i="4"/>
  <c r="X17" i="4"/>
  <c r="X16" i="4"/>
  <c r="X15" i="4"/>
  <c r="X14" i="4"/>
  <c r="X12" i="4"/>
  <c r="X11" i="4"/>
  <c r="X10" i="4"/>
  <c r="X9" i="4"/>
  <c r="X8" i="4" s="1"/>
  <c r="N4" i="4" s="1"/>
  <c r="X7" i="4"/>
  <c r="X6" i="4"/>
  <c r="X5" i="4"/>
  <c r="X4" i="4"/>
  <c r="X3" i="4" s="1"/>
  <c r="N7" i="4" s="1"/>
  <c r="X37" i="4" l="1"/>
  <c r="N10" i="4" s="1"/>
  <c r="O22" i="4"/>
  <c r="P22" i="4" s="1"/>
  <c r="R22" i="4" l="1"/>
  <c r="H20" i="4" s="1"/>
  <c r="D37" i="2"/>
  <c r="D38" i="2"/>
  <c r="E34" i="2"/>
  <c r="F30" i="2"/>
  <c r="F31" i="2"/>
  <c r="F32" i="2"/>
  <c r="O41" i="4"/>
  <c r="F33" i="2" s="1"/>
  <c r="P41" i="4"/>
  <c r="O35" i="4"/>
  <c r="P35" i="4" s="1"/>
  <c r="O36" i="4"/>
  <c r="P36" i="4" s="1"/>
  <c r="O40" i="4"/>
  <c r="P40" i="4" s="1"/>
  <c r="O37" i="4"/>
  <c r="P37" i="4" s="1"/>
  <c r="O33" i="4"/>
  <c r="F25" i="2" s="1"/>
  <c r="O34" i="4"/>
  <c r="F26" i="2" s="1"/>
  <c r="O38" i="4"/>
  <c r="P38" i="4" s="1"/>
  <c r="O39" i="4"/>
  <c r="P39" i="4" s="1"/>
  <c r="O32" i="4"/>
  <c r="F24" i="2" s="1"/>
  <c r="P28" i="4"/>
  <c r="P34" i="4" l="1"/>
  <c r="F27" i="2"/>
  <c r="F29" i="2"/>
  <c r="F28" i="2"/>
  <c r="P32" i="4"/>
  <c r="P33" i="4"/>
  <c r="H24" i="4"/>
  <c r="E23" i="4"/>
  <c r="R24" i="4" l="1"/>
  <c r="H21" i="4" s="1"/>
  <c r="O20" i="4"/>
  <c r="P20" i="4" s="1"/>
  <c r="R20" i="4" s="1"/>
  <c r="D19" i="4" s="1"/>
  <c r="Q4" i="4"/>
  <c r="R4" i="4" s="1"/>
  <c r="R16" i="4"/>
  <c r="R17" i="4"/>
  <c r="R18" i="4"/>
  <c r="R15" i="4"/>
  <c r="G29" i="1"/>
  <c r="H11" i="4"/>
  <c r="H10" i="4"/>
  <c r="H9" i="4"/>
  <c r="H8" i="4"/>
  <c r="H7" i="4"/>
  <c r="H5" i="4" l="1"/>
  <c r="H23" i="4"/>
  <c r="E12" i="2"/>
  <c r="E18" i="2" s="1"/>
  <c r="E14" i="2" l="1"/>
  <c r="H53" i="2" s="1"/>
  <c r="O27" i="4" l="1"/>
  <c r="N28" i="4" s="1"/>
  <c r="Q10" i="4"/>
  <c r="R10" i="4" s="1"/>
  <c r="Q9" i="4"/>
  <c r="R9" i="4" s="1"/>
  <c r="Q8" i="4"/>
  <c r="R8" i="4" s="1"/>
  <c r="Q7" i="4"/>
  <c r="R7" i="4" s="1"/>
  <c r="Q6" i="4"/>
  <c r="R6" i="4" s="1"/>
  <c r="Q5" i="4"/>
  <c r="R5" i="4" s="1"/>
  <c r="C17" i="2"/>
  <c r="C10" i="2"/>
  <c r="F10" i="2" s="1"/>
  <c r="F19" i="2" s="1"/>
  <c r="C27" i="1"/>
  <c r="C32" i="1" s="1"/>
  <c r="D22" i="1"/>
  <c r="G14" i="1"/>
  <c r="C8" i="1"/>
  <c r="C9" i="1" s="1"/>
  <c r="G15" i="1" l="1"/>
  <c r="C14" i="1"/>
  <c r="C17" i="1" s="1"/>
  <c r="G24" i="2"/>
  <c r="Q41" i="4"/>
  <c r="Q34" i="4"/>
  <c r="Q33" i="4"/>
  <c r="Q32" i="4"/>
  <c r="Q38" i="4"/>
  <c r="Q36" i="4"/>
  <c r="Q40" i="4"/>
  <c r="Q39" i="4"/>
  <c r="Q37" i="4"/>
  <c r="Q35" i="4"/>
  <c r="R11" i="4"/>
  <c r="R12" i="4" s="1"/>
  <c r="Q11" i="4"/>
  <c r="C35" i="1"/>
  <c r="D35" i="1" s="1"/>
  <c r="D37" i="1" s="1"/>
  <c r="C12" i="2"/>
  <c r="F12" i="2" s="1"/>
  <c r="F14" i="2" s="1"/>
  <c r="F53" i="2" s="1"/>
  <c r="E38" i="2"/>
  <c r="F38" i="2" s="1"/>
  <c r="G38" i="2" s="1"/>
  <c r="F50" i="2"/>
  <c r="G30" i="2"/>
  <c r="G29" i="2"/>
  <c r="G25" i="2"/>
  <c r="G10" i="2"/>
  <c r="G19" i="2" s="1"/>
  <c r="G26" i="2"/>
  <c r="G27" i="2"/>
  <c r="G32" i="2"/>
  <c r="G28" i="2"/>
  <c r="G33" i="2"/>
  <c r="D21" i="1"/>
  <c r="C21" i="1" s="1"/>
  <c r="B4" i="2"/>
  <c r="B6" i="2" s="1"/>
  <c r="F66" i="2" s="1"/>
  <c r="B19" i="4" l="1"/>
  <c r="H19" i="4" s="1"/>
  <c r="H25" i="4" s="1"/>
  <c r="G44" i="2" s="1"/>
  <c r="F44" i="2" s="1"/>
  <c r="H6" i="4"/>
  <c r="G50" i="2"/>
  <c r="G12" i="2"/>
  <c r="G14" i="2" s="1"/>
  <c r="G53" i="2" s="1"/>
  <c r="F6" i="2"/>
  <c r="F18" i="2" s="1"/>
  <c r="F20" i="2" s="1"/>
  <c r="F17" i="2"/>
  <c r="G17" i="2" l="1"/>
  <c r="E21" i="2"/>
  <c r="F45" i="2"/>
  <c r="N42" i="4"/>
  <c r="O42" i="4" s="1"/>
  <c r="Q42" i="4" s="1"/>
  <c r="Q43" i="4" s="1"/>
  <c r="F34" i="2"/>
  <c r="G34" i="2" s="1"/>
  <c r="E13" i="4"/>
  <c r="H13" i="4" s="1"/>
  <c r="H14" i="4" s="1"/>
  <c r="H50" i="2"/>
  <c r="H6" i="2"/>
  <c r="F35" i="2" s="1"/>
  <c r="F59" i="2"/>
  <c r="G6" i="2"/>
  <c r="G18" i="2" s="1"/>
  <c r="G20" i="2" s="1"/>
  <c r="F21" i="2" l="1"/>
  <c r="H56" i="2"/>
  <c r="P42" i="4"/>
  <c r="P43" i="4" s="1"/>
  <c r="O43" i="4"/>
  <c r="H26" i="4"/>
  <c r="G39" i="2"/>
  <c r="F39" i="2" s="1"/>
  <c r="G59" i="2"/>
  <c r="H59" i="2"/>
  <c r="F36" i="2"/>
  <c r="G35" i="2"/>
  <c r="G36" i="2" s="1"/>
  <c r="G21" i="2" l="1"/>
  <c r="G56" i="2" s="1"/>
  <c r="F56" i="2"/>
  <c r="E37" i="2"/>
  <c r="F37" i="2" s="1"/>
  <c r="G37" i="2" s="1"/>
  <c r="F41" i="2" l="1"/>
  <c r="F46" i="2" l="1"/>
  <c r="F47" i="2" s="1"/>
  <c r="F42" i="2"/>
  <c r="G41" i="2"/>
  <c r="G46" i="2" l="1"/>
  <c r="F49" i="2"/>
  <c r="G49" i="2" s="1"/>
  <c r="G54" i="2" s="1"/>
  <c r="G55" i="2" s="1"/>
  <c r="G57" i="2" s="1"/>
  <c r="H49" i="2" l="1"/>
  <c r="H54" i="2" s="1"/>
  <c r="H55" i="2" s="1"/>
  <c r="H57" i="2" s="1"/>
  <c r="F51" i="2"/>
  <c r="H51" i="2" s="1"/>
  <c r="F54" i="2"/>
  <c r="E58" i="2" l="1"/>
  <c r="F55" i="2"/>
  <c r="F57" i="2" s="1"/>
  <c r="G51" i="2"/>
  <c r="F60" i="2"/>
  <c r="F65" i="2" s="1"/>
  <c r="F61" i="2" l="1"/>
  <c r="H61" i="2" s="1"/>
  <c r="F64" i="2"/>
  <c r="G60" i="2"/>
  <c r="H60" i="2"/>
  <c r="G61" i="2" l="1"/>
</calcChain>
</file>

<file path=xl/comments1.xml><?xml version="1.0" encoding="utf-8"?>
<comments xmlns="http://schemas.openxmlformats.org/spreadsheetml/2006/main">
  <authors>
    <author>Wilson Gray</author>
  </authors>
  <commentList>
    <comment ref="B19" authorId="0" shapeId="0">
      <text>
        <r>
          <rPr>
            <b/>
            <sz val="10"/>
            <color indexed="81"/>
            <rFont val="Tahoma"/>
            <family val="2"/>
          </rPr>
          <t>Wilson Gray:</t>
        </r>
        <r>
          <rPr>
            <sz val="10"/>
            <color indexed="81"/>
            <rFont val="Tahoma"/>
            <family val="2"/>
          </rPr>
          <t xml:space="preserve">
Fencing costs are spread over the entire ranch since it is entirely fenced.</t>
        </r>
      </text>
    </comment>
    <comment ref="N42" authorId="0" shapeId="0">
      <text>
        <r>
          <rPr>
            <b/>
            <sz val="9"/>
            <color indexed="81"/>
            <rFont val="Tahoma"/>
            <family val="2"/>
          </rPr>
          <t>Wilson Gray:</t>
        </r>
        <r>
          <rPr>
            <sz val="9"/>
            <color indexed="81"/>
            <rFont val="Tahoma"/>
            <family val="2"/>
          </rPr>
          <t xml:space="preserve">
From income section on Buy-Sell report tab</t>
        </r>
      </text>
    </comment>
  </commentList>
</comments>
</file>

<file path=xl/comments2.xml><?xml version="1.0" encoding="utf-8"?>
<comments xmlns="http://schemas.openxmlformats.org/spreadsheetml/2006/main">
  <authors>
    <author>Wilson Gray</author>
  </authors>
  <commentList>
    <comment ref="H13" authorId="0" shapeId="0">
      <text>
        <r>
          <rPr>
            <b/>
            <sz val="9"/>
            <color indexed="81"/>
            <rFont val="Tahoma"/>
            <family val="2"/>
          </rPr>
          <t>Wilson Gray:</t>
        </r>
        <r>
          <rPr>
            <sz val="9"/>
            <color indexed="81"/>
            <rFont val="Tahoma"/>
            <family val="2"/>
          </rPr>
          <t xml:space="preserve">
Based on annual hay yield</t>
        </r>
      </text>
    </comment>
  </commentList>
</comments>
</file>

<file path=xl/comments3.xml><?xml version="1.0" encoding="utf-8"?>
<comments xmlns="http://schemas.openxmlformats.org/spreadsheetml/2006/main">
  <authors>
    <author>Wilson Gray</author>
  </authors>
  <commentList>
    <comment ref="G39" authorId="0" shapeId="0">
      <text>
        <r>
          <rPr>
            <b/>
            <sz val="9"/>
            <color indexed="81"/>
            <rFont val="Tahoma"/>
            <family val="2"/>
          </rPr>
          <t>Wilson Gray:</t>
        </r>
        <r>
          <rPr>
            <sz val="9"/>
            <color indexed="81"/>
            <rFont val="Tahoma"/>
            <family val="2"/>
          </rPr>
          <t xml:space="preserve">
Pasture Oper. Cost from worksheet</t>
        </r>
      </text>
    </comment>
    <comment ref="G44" authorId="0" shapeId="0">
      <text>
        <r>
          <rPr>
            <b/>
            <sz val="9"/>
            <color indexed="81"/>
            <rFont val="Tahoma"/>
            <family val="2"/>
          </rPr>
          <t>Wilson Gray:</t>
        </r>
        <r>
          <rPr>
            <sz val="9"/>
            <color indexed="81"/>
            <rFont val="Tahoma"/>
            <family val="2"/>
          </rPr>
          <t xml:space="preserve">
Pasture ownership Cost from worksheet</t>
        </r>
      </text>
    </comment>
  </commentList>
</comments>
</file>

<file path=xl/sharedStrings.xml><?xml version="1.0" encoding="utf-8"?>
<sst xmlns="http://schemas.openxmlformats.org/spreadsheetml/2006/main" count="379" uniqueCount="271">
  <si>
    <t>Income Projection</t>
  </si>
  <si>
    <t>lbs</t>
  </si>
  <si>
    <t>per cwt</t>
  </si>
  <si>
    <t>Buy- Sell Margin</t>
  </si>
  <si>
    <t>Buy</t>
  </si>
  <si>
    <t>Sell</t>
  </si>
  <si>
    <t>@</t>
  </si>
  <si>
    <t>Gross Value of Gain</t>
  </si>
  <si>
    <t>Gain</t>
  </si>
  <si>
    <t>Vet &amp; Medical</t>
  </si>
  <si>
    <t>Supplemental feed</t>
  </si>
  <si>
    <t>Growth Stimulant</t>
  </si>
  <si>
    <t>Death Loss</t>
  </si>
  <si>
    <t>SUMMARY</t>
  </si>
  <si>
    <t>Salt-Mineral</t>
  </si>
  <si>
    <t>Livestock</t>
  </si>
  <si>
    <t>Pasture</t>
  </si>
  <si>
    <t>Miscellaneous costs</t>
  </si>
  <si>
    <t>Lbs. Live wt per ac</t>
  </si>
  <si>
    <t>Ave wt =</t>
  </si>
  <si>
    <t>Stockers</t>
  </si>
  <si>
    <t>Per Ac</t>
  </si>
  <si>
    <t>HD per Ac</t>
  </si>
  <si>
    <t>AC per Cell</t>
  </si>
  <si>
    <t>acres</t>
  </si>
  <si>
    <t>Capacity is</t>
  </si>
  <si>
    <t>Anticipated rate of gain per day</t>
  </si>
  <si>
    <t>Length of grazing season</t>
  </si>
  <si>
    <t>days</t>
  </si>
  <si>
    <t>lbs per day</t>
  </si>
  <si>
    <t>Field - grazable acres</t>
  </si>
  <si>
    <t>Stockers initial weight @</t>
  </si>
  <si>
    <t>Stockers projected final weight @</t>
  </si>
  <si>
    <t>Estimated Annual Forage Production</t>
  </si>
  <si>
    <t>Lbs. per acre</t>
  </si>
  <si>
    <t>Percent</t>
  </si>
  <si>
    <t>Pct body weight</t>
  </si>
  <si>
    <t>Seasonal Utilization Rate</t>
  </si>
  <si>
    <t>Average Daily Feed Intake</t>
  </si>
  <si>
    <t>Lbs per acre</t>
  </si>
  <si>
    <t>Pct. body weight</t>
  </si>
  <si>
    <t>Days</t>
  </si>
  <si>
    <t>Grazing period utilization</t>
  </si>
  <si>
    <t>Stocking density is</t>
  </si>
  <si>
    <t>Desired average daily intake</t>
  </si>
  <si>
    <t>Length of grazing period in cell</t>
  </si>
  <si>
    <t xml:space="preserve"> lbs less shrink @ </t>
  </si>
  <si>
    <t>Death Loss @</t>
  </si>
  <si>
    <t>Net sale value</t>
  </si>
  <si>
    <t>Production Costs per head</t>
  </si>
  <si>
    <t>Operating costs - (Sum of above)</t>
  </si>
  <si>
    <t>Interest on Oper. Cap.</t>
  </si>
  <si>
    <r>
      <t xml:space="preserve">&lt;&lt;&lt;&lt;&lt; Enter data in </t>
    </r>
    <r>
      <rPr>
        <b/>
        <sz val="10"/>
        <color indexed="13"/>
        <rFont val="Arial"/>
        <family val="2"/>
      </rPr>
      <t>YELLOW</t>
    </r>
    <r>
      <rPr>
        <b/>
        <sz val="10"/>
        <rFont val="Arial"/>
        <family val="2"/>
      </rPr>
      <t xml:space="preserve"> cells only!</t>
    </r>
  </si>
  <si>
    <t xml:space="preserve">Data input section for capacity and density equations. </t>
  </si>
  <si>
    <t>Enter data in YELLOW areas only.</t>
  </si>
  <si>
    <t>Interest on Stockers</t>
  </si>
  <si>
    <t>Total Operating Cost</t>
  </si>
  <si>
    <t>Calf</t>
  </si>
  <si>
    <t>Total</t>
  </si>
  <si>
    <t>Total Revenue</t>
  </si>
  <si>
    <t>Net Return</t>
  </si>
  <si>
    <t>unit</t>
  </si>
  <si>
    <t>Per Head</t>
  </si>
  <si>
    <t>Hired Labour</t>
  </si>
  <si>
    <t>Per Acre</t>
  </si>
  <si>
    <t>ADG</t>
  </si>
  <si>
    <t>Number of head planned</t>
  </si>
  <si>
    <t>Max Field</t>
  </si>
  <si>
    <t>Capacity</t>
  </si>
  <si>
    <t>Grazing Cell Stocking Density</t>
  </si>
  <si>
    <t>Seasonal Carrying Capacity</t>
  </si>
  <si>
    <t>Head</t>
  </si>
  <si>
    <t>Operating Costs</t>
  </si>
  <si>
    <t>$ labour</t>
  </si>
  <si>
    <t>Quantity per AC</t>
  </si>
  <si>
    <t>Cost/Unit</t>
  </si>
  <si>
    <t>Units</t>
  </si>
  <si>
    <t>Total per AC</t>
  </si>
  <si>
    <t>Irrigation</t>
  </si>
  <si>
    <t>Power</t>
  </si>
  <si>
    <t>Int. &amp; Maintenance</t>
  </si>
  <si>
    <t>Labour</t>
  </si>
  <si>
    <t>Other</t>
  </si>
  <si>
    <t>Fence Maintenance</t>
  </si>
  <si>
    <t>Hr</t>
  </si>
  <si>
    <t>per ac</t>
  </si>
  <si>
    <t>Interest on Operating Capital</t>
  </si>
  <si>
    <t>Operating Cost per Acre</t>
  </si>
  <si>
    <t>Ownership Costs</t>
  </si>
  <si>
    <t>Real Estate taxes</t>
  </si>
  <si>
    <t>Ownership Costs per Acre</t>
  </si>
  <si>
    <t>Total Costs per Acre</t>
  </si>
  <si>
    <t>Only enter costs directly associated with pasture production</t>
  </si>
  <si>
    <t xml:space="preserve">Operating costs </t>
  </si>
  <si>
    <t xml:space="preserve">Ownership costs </t>
  </si>
  <si>
    <t>Irrigation System Ownership costs</t>
  </si>
  <si>
    <t>Ag Value</t>
  </si>
  <si>
    <t>Tax Rate</t>
  </si>
  <si>
    <t>total fence &amp; watering</t>
  </si>
  <si>
    <t>mile</t>
  </si>
  <si>
    <t>ea</t>
  </si>
  <si>
    <t>Irrig sys investment</t>
  </si>
  <si>
    <t>total</t>
  </si>
  <si>
    <t>forage height(inches)</t>
  </si>
  <si>
    <t>The University of Idaho has no responsibility for the spreadsheet or results that may occur due to its use.</t>
  </si>
  <si>
    <t>DISCLAIMER</t>
  </si>
  <si>
    <t>For information contact:</t>
  </si>
  <si>
    <t>C. Wilson Gray</t>
  </si>
  <si>
    <t>Extension Economist</t>
  </si>
  <si>
    <t>Twin Falls R &amp; E Center</t>
  </si>
  <si>
    <t>PO Box 1827</t>
  </si>
  <si>
    <t>Twin Falls, ID 83303-1827</t>
  </si>
  <si>
    <t>(208) 736-3622</t>
  </si>
  <si>
    <t xml:space="preserve">This spreadsheet is provided "as is" with no guarantee of accuracy or </t>
  </si>
  <si>
    <t>appropriateness to the use a party may make  of it.</t>
  </si>
  <si>
    <t>Acres</t>
  </si>
  <si>
    <t>Value</t>
  </si>
  <si>
    <t>Total value</t>
  </si>
  <si>
    <t>Payment</t>
  </si>
  <si>
    <t>Int. on Purchase Price</t>
  </si>
  <si>
    <t>65% financed @ 5% for 20 years</t>
  </si>
  <si>
    <t>Version 1.0</t>
  </si>
  <si>
    <t>Number of Cells</t>
  </si>
  <si>
    <t>Fuel, Lube - Equip.</t>
  </si>
  <si>
    <t>Irrig. Dist. O&amp;M</t>
  </si>
  <si>
    <t>AcIn</t>
  </si>
  <si>
    <t>Land Charge (Interest)</t>
  </si>
  <si>
    <t>Per Pound</t>
  </si>
  <si>
    <t>Acre</t>
  </si>
  <si>
    <t>Per Cwt.</t>
  </si>
  <si>
    <t>Labour - Hired</t>
  </si>
  <si>
    <t>Labour - Owner</t>
  </si>
  <si>
    <t>Misc</t>
  </si>
  <si>
    <t>Field - Total acres</t>
  </si>
  <si>
    <t>Commission %</t>
  </si>
  <si>
    <t>Per LB.</t>
  </si>
  <si>
    <t>Per lb gain</t>
  </si>
  <si>
    <t>Breakeven Data</t>
  </si>
  <si>
    <t>Breakeven Cost of Gain</t>
  </si>
  <si>
    <t>Breakeven Purchase Price</t>
  </si>
  <si>
    <t>Breakeven Sales Price</t>
  </si>
  <si>
    <t>\* NOTE:  If owner labour is not charged this is return to management and labour.</t>
  </si>
  <si>
    <t>Total Forage produced</t>
  </si>
  <si>
    <t>Estimated forage produced</t>
  </si>
  <si>
    <t>Annual Irrigated Forage Production</t>
  </si>
  <si>
    <t>Late season regrowth/possible stockpile</t>
  </si>
  <si>
    <t>Available Irrigated Forage</t>
  </si>
  <si>
    <t>Average for season, all grazing cells</t>
  </si>
  <si>
    <t>Yrs Life</t>
  </si>
  <si>
    <t>Fence Investment</t>
  </si>
  <si>
    <t>Repairs - Maintenance</t>
  </si>
  <si>
    <t>All</t>
  </si>
  <si>
    <t>Center Pivot w/end gun</t>
  </si>
  <si>
    <t>System cost</t>
  </si>
  <si>
    <t>Salvage %</t>
  </si>
  <si>
    <t>Stand Amoritization</t>
  </si>
  <si>
    <t>Estab. Cost</t>
  </si>
  <si>
    <t>Yrs life</t>
  </si>
  <si>
    <t>Custom work</t>
  </si>
  <si>
    <t>Fence &amp; water system</t>
  </si>
  <si>
    <t>Trucking</t>
  </si>
  <si>
    <t>Price/Cost per Unit</t>
  </si>
  <si>
    <t>Total Value</t>
  </si>
  <si>
    <t>Total Number of Units</t>
  </si>
  <si>
    <t>Value Per Acre</t>
  </si>
  <si>
    <t>Total These Costs</t>
  </si>
  <si>
    <t>Value per Head</t>
  </si>
  <si>
    <t>Fuel, Lube &amp;Repairs</t>
  </si>
  <si>
    <t>Hours</t>
  </si>
  <si>
    <t>Owner Labor</t>
  </si>
  <si>
    <t>Checkoff/Brand Inspection</t>
  </si>
  <si>
    <t>Enter data on budget worksheet tab</t>
  </si>
  <si>
    <t>Percent pencil shrink</t>
  </si>
  <si>
    <t>Perimeter High Tensile</t>
  </si>
  <si>
    <t>Inside divider High Tensile</t>
  </si>
  <si>
    <t>Watering system (lines &amp; tanks)</t>
  </si>
  <si>
    <r>
      <rPr>
        <b/>
        <i/>
        <sz val="9"/>
        <rFont val="Arial"/>
        <family val="2"/>
      </rPr>
      <t>i</t>
    </r>
    <r>
      <rPr>
        <b/>
        <sz val="9"/>
        <rFont val="Arial"/>
        <family val="2"/>
      </rPr>
      <t xml:space="preserve"> on Investmt</t>
    </r>
  </si>
  <si>
    <t>Ann Invstmt/AC</t>
  </si>
  <si>
    <t>Real Estate Purch</t>
  </si>
  <si>
    <t>Other Improvements</t>
  </si>
  <si>
    <t>Buildings, corrals, etc.</t>
  </si>
  <si>
    <t>http://web.cals.uidaho.edu/idahoagbiz/</t>
  </si>
  <si>
    <t>AG ECON's Idaho AgBiz WEB PAGE</t>
  </si>
  <si>
    <t>eMail:  wgray@uidaho.edu</t>
  </si>
  <si>
    <t>Tons - DM</t>
  </si>
  <si>
    <t>Lbs. Dry Matter basis</t>
  </si>
  <si>
    <t>Data for back-grounding stockers</t>
  </si>
  <si>
    <t>Steps to Using the spreadsheet</t>
  </si>
  <si>
    <t xml:space="preserve">In all tabs only enter information in the yellow highlighted cells. </t>
  </si>
  <si>
    <t>Otherwise you would overwrite formulaes which can make the results erroneous.</t>
  </si>
  <si>
    <t>Fillin the budget worksheets tab first for both the pasture and stocker backgrounding information.</t>
  </si>
  <si>
    <t>Next complete the stocking rate tab for estimating the stock rate and stock density for your pasture.</t>
  </si>
  <si>
    <t>On the buy-sell tab four values need to be entered. The percent shrink at sale time, the percent</t>
  </si>
  <si>
    <t>death loss based on your past experience and the purchase and selling prices you are planning for.</t>
  </si>
  <si>
    <t>If the calves are being retained use the market price you could have received when the calves were placed on pasture.</t>
  </si>
  <si>
    <t>Quantity per unit</t>
  </si>
  <si>
    <t>Stocker Buy-Sell Report</t>
  </si>
  <si>
    <t>Fence costs</t>
  </si>
  <si>
    <t>Item</t>
  </si>
  <si>
    <t>amount</t>
  </si>
  <si>
    <t>price per unit</t>
  </si>
  <si>
    <t>Corner brace</t>
  </si>
  <si>
    <t>8-in wood post</t>
  </si>
  <si>
    <t>4-in wood post</t>
  </si>
  <si>
    <t>Insulators - Dbl U</t>
  </si>
  <si>
    <t>Misc Mtls</t>
  </si>
  <si>
    <t>Line Fence</t>
  </si>
  <si>
    <t>Poly posts 1 5/8 x 60 in</t>
  </si>
  <si>
    <t>25 FT spacing</t>
  </si>
  <si>
    <t>Tensioners</t>
  </si>
  <si>
    <t>Hi-Tensile 12.5 Gal wire</t>
  </si>
  <si>
    <t>EA</t>
  </si>
  <si>
    <t>FT</t>
  </si>
  <si>
    <t>Energizer</t>
  </si>
  <si>
    <t>Cut out switch</t>
  </si>
  <si>
    <t>Ground rods 5/8in x 8Ft</t>
  </si>
  <si>
    <t>Clamps</t>
  </si>
  <si>
    <t>Energizer - 2 Joule output</t>
  </si>
  <si>
    <t>Geared Reel</t>
  </si>
  <si>
    <t>poly wire 880Ft</t>
  </si>
  <si>
    <t>Gate handles</t>
  </si>
  <si>
    <t>Stepin posts - 30Ft spacing</t>
  </si>
  <si>
    <t>Cotter pins</t>
  </si>
  <si>
    <t>Package of 50</t>
  </si>
  <si>
    <t>Insul wire</t>
  </si>
  <si>
    <t>100 Ft roll</t>
  </si>
  <si>
    <t>Crimping sleeves</t>
  </si>
  <si>
    <t>Pkg</t>
  </si>
  <si>
    <t>Gate hookup set</t>
  </si>
  <si>
    <t>Electrified Bungie cord</t>
  </si>
  <si>
    <t>Misc items - one time cost</t>
  </si>
  <si>
    <t>Lightening diverter/coil</t>
  </si>
  <si>
    <t>Other Misc</t>
  </si>
  <si>
    <t>Structural foam tank - 300 Gal</t>
  </si>
  <si>
    <t>Tank valve</t>
  </si>
  <si>
    <t>HDPE black pipe 1-in</t>
  </si>
  <si>
    <t>Valves &amp; fittings</t>
  </si>
  <si>
    <t>Quick couplers, fittings, clamps, etc.</t>
  </si>
  <si>
    <t>Water system - Poly line + portable tank</t>
  </si>
  <si>
    <t>Portable polywire fence</t>
  </si>
  <si>
    <t>Comments</t>
  </si>
  <si>
    <t>Corners</t>
  </si>
  <si>
    <t>Portable (Poly or tape)</t>
  </si>
  <si>
    <t>Energiser system</t>
  </si>
  <si>
    <t>1/4 mile</t>
  </si>
  <si>
    <t>setup</t>
  </si>
  <si>
    <t>Gates &amp; Misc.</t>
  </si>
  <si>
    <t>T1 for itemized cost table</t>
  </si>
  <si>
    <t>Forage Lbs. per inch DM</t>
  </si>
  <si>
    <t>Buy-Sell Margin</t>
  </si>
  <si>
    <t>Value of Gain</t>
  </si>
  <si>
    <t>Oper. Cost per LB. gain</t>
  </si>
  <si>
    <t>Total Cost</t>
  </si>
  <si>
    <t>Total Cost/LB. gain</t>
  </si>
  <si>
    <t>Cost of Gain</t>
  </si>
  <si>
    <t>Pasture Production Summary</t>
  </si>
  <si>
    <t>@ 10.0% of investment</t>
  </si>
  <si>
    <t>Hi-Tensile 12.5 Gal wire x 2 (hot+gnd)</t>
  </si>
  <si>
    <t>High Tensile galvanized wire electrified fence - 1320 FT.</t>
  </si>
  <si>
    <t>Ownership Cost per LB. gain</t>
  </si>
  <si>
    <t>Per LB/CWT</t>
  </si>
  <si>
    <t>Total #'s gain</t>
  </si>
  <si>
    <t>Sales value of Feeder</t>
  </si>
  <si>
    <t>Purchase value of stocker</t>
  </si>
  <si>
    <t>Gross Returns</t>
  </si>
  <si>
    <t>Pasture operating cost</t>
  </si>
  <si>
    <t>Pasture ownership cost</t>
  </si>
  <si>
    <t>Market Loss on Buy-Sell Margin</t>
  </si>
  <si>
    <t>Total: COG + Mkt loss</t>
  </si>
  <si>
    <r>
      <t>Management Returns VOG - COG\</t>
    </r>
    <r>
      <rPr>
        <u/>
        <sz val="8"/>
        <rFont val="Arial"/>
        <family val="2"/>
      </rPr>
      <t>*</t>
    </r>
  </si>
  <si>
    <t>Total cost (Pasture + Stocker)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</si>
</sst>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_(* #,##0.0_);_(* \(#,##0.0\);_(* &quot;-&quot;??_);_(@_)"/>
    <numFmt numFmtId="166" formatCode="_(* #,##0_);_(* \(#,##0\);_(* &quot;-&quot;??_);_(@_)"/>
    <numFmt numFmtId="167" formatCode="\,"/>
    <numFmt numFmtId="168" formatCode="_([$€-2]* #,##0.00_);_([$€-2]* \(#,##0.00\);_([$€-2]* &quot;-&quot;??_)"/>
    <numFmt numFmtId="169" formatCode="[$-809]dd\ mmmm\ yyyy;@"/>
    <numFmt numFmtId="170" formatCode="_([$$-409]* #,##0.00_);_([$$-409]* \(#,##0.00\);_([$$-409]* &quot;-&quot;??_);_(@_)"/>
    <numFmt numFmtId="171" formatCode="&quot;$&quot;#,##0.0000_);[Red]\(&quot;$&quot;#,##0.0000\)"/>
    <numFmt numFmtId="172" formatCode="&quot;$&quot;#,##0.000_);[Red]\(&quot;$&quot;#,##0.000\)"/>
    <numFmt numFmtId="173" formatCode="0.00_);[Red]\(0.00\)"/>
    <numFmt numFmtId="174" formatCode="0.00000"/>
  </numFmts>
  <fonts count="34" x14ac:knownFonts="1">
    <font>
      <sz val="10"/>
      <name val="Arial"/>
    </font>
    <font>
      <sz val="10"/>
      <name val="Arial"/>
      <family val="2"/>
    </font>
    <font>
      <sz val="18"/>
      <name val="Arial"/>
      <family val="2"/>
    </font>
    <font>
      <b/>
      <sz val="10"/>
      <name val="Arial"/>
      <family val="2"/>
    </font>
    <font>
      <b/>
      <sz val="10"/>
      <color indexed="13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color indexed="81"/>
      <name val="Tahoma"/>
      <family val="2"/>
    </font>
    <font>
      <sz val="10"/>
      <color indexed="81"/>
      <name val="Tahoma"/>
      <family val="2"/>
    </font>
    <font>
      <sz val="18"/>
      <name val="Arial"/>
      <family val="2"/>
    </font>
    <font>
      <sz val="8"/>
      <name val="Arial"/>
      <family val="2"/>
    </font>
    <font>
      <sz val="10"/>
      <color indexed="12"/>
      <name val="Arial"/>
      <family val="2"/>
    </font>
    <font>
      <sz val="10"/>
      <color rgb="FFC00000"/>
      <name val="Arial"/>
      <family val="2"/>
    </font>
    <font>
      <sz val="8"/>
      <color theme="7" tint="-0.499984740745262"/>
      <name val="Arial"/>
      <family val="2"/>
    </font>
    <font>
      <sz val="10"/>
      <name val="Arial"/>
      <family val="2"/>
    </font>
    <font>
      <b/>
      <sz val="15"/>
      <color theme="3"/>
      <name val="Arial"/>
      <family val="2"/>
    </font>
    <font>
      <b/>
      <sz val="11"/>
      <color theme="3"/>
      <name val="Arial"/>
      <family val="2"/>
    </font>
    <font>
      <u/>
      <sz val="8"/>
      <name val="Arial"/>
      <family val="2"/>
    </font>
    <font>
      <b/>
      <sz val="10.5"/>
      <name val="Arial"/>
      <family val="2"/>
    </font>
    <font>
      <sz val="10"/>
      <color theme="4" tint="-0.249977111117893"/>
      <name val="Arial"/>
      <family val="2"/>
    </font>
    <font>
      <sz val="11"/>
      <color theme="4" tint="-0.249977111117893"/>
      <name val="Arial"/>
      <family val="2"/>
    </font>
    <font>
      <sz val="11"/>
      <color rgb="FF9C6500"/>
      <name val="Arial"/>
      <family val="2"/>
    </font>
    <font>
      <b/>
      <sz val="12"/>
      <name val="Arial"/>
      <family val="2"/>
    </font>
    <font>
      <i/>
      <sz val="11"/>
      <color rgb="FF000080"/>
      <name val="Arial"/>
      <family val="2"/>
    </font>
    <font>
      <b/>
      <sz val="9"/>
      <name val="Arial"/>
      <family val="2"/>
    </font>
    <font>
      <b/>
      <i/>
      <sz val="9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rgb="FFFA7D00"/>
      <name val="Arial"/>
      <family val="2"/>
    </font>
    <font>
      <sz val="11"/>
      <color theme="0"/>
      <name val="Arial"/>
      <family val="2"/>
    </font>
    <font>
      <b/>
      <sz val="12"/>
      <color theme="0"/>
      <name val="Arial"/>
      <family val="2"/>
    </font>
    <font>
      <sz val="10"/>
      <color rgb="FFFF0000"/>
      <name val="Arial"/>
      <family val="2"/>
    </font>
  </fonts>
  <fills count="22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CC99"/>
      </patternFill>
    </fill>
    <fill>
      <patternFill patternType="solid">
        <fgColor rgb="FFFFFFCC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rgb="FF808080"/>
      </top>
      <bottom/>
      <diagonal/>
    </border>
    <border>
      <left/>
      <right/>
      <top style="medium">
        <color rgb="FF808080"/>
      </top>
      <bottom style="medium">
        <color rgb="FF80808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/>
      <diagonal/>
    </border>
    <border>
      <left style="thin">
        <color rgb="FF7F7F7F"/>
      </left>
      <right style="thin">
        <color rgb="FF7F7F7F"/>
      </right>
      <top/>
      <bottom/>
      <diagonal/>
    </border>
    <border>
      <left/>
      <right/>
      <top/>
      <bottom style="double">
        <color indexed="64"/>
      </bottom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7" fillId="0" borderId="1" applyNumberFormat="0" applyFill="0" applyAlignment="0" applyProtection="0"/>
    <xf numFmtId="0" fontId="16" fillId="13" borderId="2" applyNumberFormat="0" applyFont="0" applyAlignment="0" applyProtection="0"/>
    <xf numFmtId="0" fontId="23" fillId="17" borderId="0" applyNumberFormat="0" applyBorder="0" applyAlignment="0" applyProtection="0"/>
    <xf numFmtId="0" fontId="8" fillId="0" borderId="0"/>
    <xf numFmtId="0" fontId="30" fillId="18" borderId="5" applyNumberFormat="0" applyAlignment="0" applyProtection="0"/>
    <xf numFmtId="0" fontId="31" fillId="19" borderId="0" applyNumberFormat="0" applyBorder="0" applyAlignment="0" applyProtection="0"/>
  </cellStyleXfs>
  <cellXfs count="143">
    <xf numFmtId="0" fontId="0" fillId="0" borderId="0" xfId="0"/>
    <xf numFmtId="2" fontId="0" fillId="0" borderId="0" xfId="0" applyNumberFormat="1"/>
    <xf numFmtId="1" fontId="0" fillId="0" borderId="0" xfId="0" applyNumberFormat="1"/>
    <xf numFmtId="0" fontId="0" fillId="0" borderId="0" xfId="0" quotePrefix="1" applyAlignment="1">
      <alignment horizontal="left"/>
    </xf>
    <xf numFmtId="44" fontId="0" fillId="0" borderId="0" xfId="2" applyFont="1"/>
    <xf numFmtId="0" fontId="2" fillId="0" borderId="0" xfId="0" applyFont="1"/>
    <xf numFmtId="166" fontId="0" fillId="0" borderId="0" xfId="0" applyNumberFormat="1"/>
    <xf numFmtId="43" fontId="0" fillId="0" borderId="0" xfId="0" applyNumberFormat="1"/>
    <xf numFmtId="0" fontId="0" fillId="0" borderId="0" xfId="0" applyAlignment="1">
      <alignment horizontal="right"/>
    </xf>
    <xf numFmtId="165" fontId="0" fillId="0" borderId="0" xfId="0" applyNumberFormat="1"/>
    <xf numFmtId="0" fontId="0" fillId="2" borderId="0" xfId="0" applyFill="1"/>
    <xf numFmtId="0" fontId="3" fillId="2" borderId="0" xfId="0" applyFont="1" applyFill="1"/>
    <xf numFmtId="0" fontId="0" fillId="0" borderId="0" xfId="0" applyAlignment="1">
      <alignment horizontal="left"/>
    </xf>
    <xf numFmtId="44" fontId="0" fillId="0" borderId="0" xfId="0" applyNumberFormat="1"/>
    <xf numFmtId="0" fontId="0" fillId="0" borderId="0" xfId="0" applyAlignment="1">
      <alignment horizontal="center"/>
    </xf>
    <xf numFmtId="0" fontId="3" fillId="3" borderId="0" xfId="0" applyFont="1" applyFill="1"/>
    <xf numFmtId="0" fontId="3" fillId="4" borderId="0" xfId="0" applyFont="1" applyFill="1"/>
    <xf numFmtId="0" fontId="0" fillId="3" borderId="0" xfId="0" applyFill="1"/>
    <xf numFmtId="164" fontId="0" fillId="4" borderId="0" xfId="4" applyNumberFormat="1" applyFont="1" applyFill="1" applyProtection="1">
      <protection locked="0"/>
    </xf>
    <xf numFmtId="44" fontId="0" fillId="4" borderId="0" xfId="2" applyFont="1" applyFill="1" applyProtection="1">
      <protection locked="0"/>
    </xf>
    <xf numFmtId="0" fontId="0" fillId="4" borderId="0" xfId="0" applyFill="1" applyProtection="1">
      <protection locked="0"/>
    </xf>
    <xf numFmtId="2" fontId="0" fillId="0" borderId="0" xfId="0" applyNumberFormat="1" applyFill="1" applyProtection="1"/>
    <xf numFmtId="167" fontId="0" fillId="0" borderId="0" xfId="2" applyNumberFormat="1" applyFont="1" applyProtection="1"/>
    <xf numFmtId="0" fontId="0" fillId="5" borderId="0" xfId="0" applyFill="1"/>
    <xf numFmtId="2" fontId="0" fillId="5" borderId="0" xfId="0" applyNumberFormat="1" applyFill="1"/>
    <xf numFmtId="0" fontId="5" fillId="0" borderId="0" xfId="0" applyFont="1"/>
    <xf numFmtId="0" fontId="1" fillId="0" borderId="0" xfId="0" applyFont="1"/>
    <xf numFmtId="0" fontId="6" fillId="0" borderId="0" xfId="0" applyFont="1" applyAlignment="1">
      <alignment horizontal="center"/>
    </xf>
    <xf numFmtId="44" fontId="0" fillId="0" borderId="0" xfId="2" applyFont="1" applyFill="1" applyProtection="1">
      <protection locked="0"/>
    </xf>
    <xf numFmtId="44" fontId="0" fillId="0" borderId="0" xfId="2" applyNumberFormat="1" applyFont="1"/>
    <xf numFmtId="44" fontId="0" fillId="0" borderId="0" xfId="2" applyFont="1" applyFill="1"/>
    <xf numFmtId="0" fontId="0" fillId="6" borderId="0" xfId="0" applyFill="1" applyAlignment="1">
      <alignment horizontal="right"/>
    </xf>
    <xf numFmtId="0" fontId="0" fillId="6" borderId="0" xfId="0" applyFill="1"/>
    <xf numFmtId="166" fontId="0" fillId="4" borderId="0" xfId="0" applyNumberFormat="1" applyFill="1"/>
    <xf numFmtId="0" fontId="7" fillId="0" borderId="0" xfId="0" applyFont="1"/>
    <xf numFmtId="44" fontId="0" fillId="0" borderId="0" xfId="0" applyNumberFormat="1" applyFill="1"/>
    <xf numFmtId="0" fontId="0" fillId="0" borderId="0" xfId="0" applyFill="1"/>
    <xf numFmtId="2" fontId="0" fillId="0" borderId="0" xfId="0" applyNumberFormat="1" applyFill="1"/>
    <xf numFmtId="0" fontId="0" fillId="0" borderId="0" xfId="0" applyAlignment="1">
      <alignment wrapText="1"/>
    </xf>
    <xf numFmtId="43" fontId="8" fillId="0" borderId="0" xfId="1" applyFont="1"/>
    <xf numFmtId="44" fontId="8" fillId="0" borderId="0" xfId="2" applyFont="1"/>
    <xf numFmtId="0" fontId="11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44" fontId="0" fillId="5" borderId="0" xfId="0" applyNumberFormat="1" applyFill="1"/>
    <xf numFmtId="2" fontId="0" fillId="0" borderId="0" xfId="0" applyNumberFormat="1" applyFill="1" applyProtection="1">
      <protection locked="0"/>
    </xf>
    <xf numFmtId="0" fontId="0" fillId="8" borderId="0" xfId="0" applyFill="1"/>
    <xf numFmtId="0" fontId="0" fillId="9" borderId="0" xfId="0" applyFill="1"/>
    <xf numFmtId="8" fontId="0" fillId="0" borderId="0" xfId="0" applyNumberFormat="1"/>
    <xf numFmtId="0" fontId="0" fillId="0" borderId="0" xfId="0" quotePrefix="1"/>
    <xf numFmtId="166" fontId="8" fillId="0" borderId="0" xfId="1" applyNumberFormat="1" applyFont="1" applyFill="1"/>
    <xf numFmtId="166" fontId="0" fillId="0" borderId="0" xfId="1" applyNumberFormat="1" applyFont="1" applyFill="1" applyProtection="1">
      <protection locked="0"/>
    </xf>
    <xf numFmtId="0" fontId="12" fillId="0" borderId="0" xfId="0" applyFont="1" applyAlignment="1">
      <alignment wrapText="1" shrinkToFit="1"/>
    </xf>
    <xf numFmtId="2" fontId="13" fillId="0" borderId="0" xfId="0" applyNumberFormat="1" applyFont="1"/>
    <xf numFmtId="169" fontId="0" fillId="0" borderId="0" xfId="0" applyNumberFormat="1" applyAlignment="1">
      <alignment horizontal="left"/>
    </xf>
    <xf numFmtId="14" fontId="0" fillId="0" borderId="0" xfId="0" applyNumberFormat="1"/>
    <xf numFmtId="0" fontId="14" fillId="0" borderId="0" xfId="0" applyFont="1"/>
    <xf numFmtId="0" fontId="0" fillId="11" borderId="0" xfId="0" applyFill="1"/>
    <xf numFmtId="8" fontId="0" fillId="0" borderId="0" xfId="2" applyNumberFormat="1" applyFont="1"/>
    <xf numFmtId="170" fontId="8" fillId="0" borderId="0" xfId="2" applyNumberFormat="1" applyFont="1"/>
    <xf numFmtId="0" fontId="15" fillId="0" borderId="0" xfId="0" applyFont="1"/>
    <xf numFmtId="8" fontId="0" fillId="0" borderId="0" xfId="0" applyNumberFormat="1" applyFill="1"/>
    <xf numFmtId="10" fontId="0" fillId="10" borderId="0" xfId="4" applyNumberFormat="1" applyFont="1" applyFill="1"/>
    <xf numFmtId="171" fontId="0" fillId="0" borderId="0" xfId="2" applyNumberFormat="1" applyFont="1"/>
    <xf numFmtId="0" fontId="0" fillId="0" borderId="0" xfId="0" applyAlignment="1">
      <alignment horizontal="left" indent="1"/>
    </xf>
    <xf numFmtId="0" fontId="0" fillId="14" borderId="0" xfId="0" applyFill="1"/>
    <xf numFmtId="0" fontId="18" fillId="13" borderId="2" xfId="6" applyFont="1"/>
    <xf numFmtId="8" fontId="18" fillId="13" borderId="2" xfId="6" applyNumberFormat="1" applyFont="1"/>
    <xf numFmtId="0" fontId="17" fillId="12" borderId="1" xfId="5" applyFill="1"/>
    <xf numFmtId="0" fontId="0" fillId="15" borderId="0" xfId="0" applyFill="1"/>
    <xf numFmtId="0" fontId="1" fillId="0" borderId="0" xfId="0" quotePrefix="1" applyFont="1" applyAlignment="1">
      <alignment horizontal="left"/>
    </xf>
    <xf numFmtId="172" fontId="18" fillId="13" borderId="2" xfId="6" applyNumberFormat="1" applyFont="1"/>
    <xf numFmtId="0" fontId="3" fillId="0" borderId="0" xfId="0" applyFont="1"/>
    <xf numFmtId="0" fontId="0" fillId="10" borderId="0" xfId="0" applyFill="1"/>
    <xf numFmtId="0" fontId="20" fillId="0" borderId="0" xfId="0" applyFont="1"/>
    <xf numFmtId="166" fontId="20" fillId="0" borderId="0" xfId="1" applyNumberFormat="1" applyFont="1"/>
    <xf numFmtId="0" fontId="20" fillId="0" borderId="0" xfId="0" applyFont="1" applyAlignment="1">
      <alignment horizontal="right"/>
    </xf>
    <xf numFmtId="165" fontId="20" fillId="0" borderId="0" xfId="0" applyNumberFormat="1" applyFont="1"/>
    <xf numFmtId="0" fontId="0" fillId="16" borderId="0" xfId="0" applyFill="1"/>
    <xf numFmtId="2" fontId="13" fillId="16" borderId="0" xfId="0" applyNumberFormat="1" applyFont="1" applyFill="1"/>
    <xf numFmtId="0" fontId="8" fillId="0" borderId="0" xfId="0" applyFont="1"/>
    <xf numFmtId="2" fontId="8" fillId="0" borderId="0" xfId="0" applyNumberFormat="1" applyFont="1"/>
    <xf numFmtId="173" fontId="8" fillId="0" borderId="0" xfId="1" applyNumberFormat="1" applyFont="1"/>
    <xf numFmtId="173" fontId="0" fillId="0" borderId="0" xfId="0" applyNumberFormat="1"/>
    <xf numFmtId="173" fontId="8" fillId="0" borderId="0" xfId="2" applyNumberFormat="1" applyFont="1"/>
    <xf numFmtId="43" fontId="8" fillId="0" borderId="0" xfId="1" applyFont="1" applyFill="1"/>
    <xf numFmtId="0" fontId="21" fillId="10" borderId="0" xfId="0" applyFont="1" applyFill="1"/>
    <xf numFmtId="0" fontId="21" fillId="4" borderId="0" xfId="0" applyFont="1" applyFill="1"/>
    <xf numFmtId="43" fontId="22" fillId="4" borderId="0" xfId="1" applyFont="1" applyFill="1"/>
    <xf numFmtId="43" fontId="22" fillId="10" borderId="0" xfId="1" applyFont="1" applyFill="1"/>
    <xf numFmtId="166" fontId="22" fillId="4" borderId="0" xfId="1" applyNumberFormat="1" applyFont="1" applyFill="1"/>
    <xf numFmtId="0" fontId="22" fillId="10" borderId="0" xfId="0" applyFont="1" applyFill="1"/>
    <xf numFmtId="164" fontId="22" fillId="4" borderId="0" xfId="4" applyNumberFormat="1" applyFont="1" applyFill="1"/>
    <xf numFmtId="10" fontId="22" fillId="4" borderId="0" xfId="4" applyNumberFormat="1" applyFont="1" applyFill="1"/>
    <xf numFmtId="173" fontId="8" fillId="0" borderId="0" xfId="1" applyNumberFormat="1" applyFont="1" applyFill="1"/>
    <xf numFmtId="1" fontId="0" fillId="0" borderId="0" xfId="0" applyNumberFormat="1" applyFill="1"/>
    <xf numFmtId="0" fontId="3" fillId="7" borderId="0" xfId="0" applyFont="1" applyFill="1" applyAlignment="1">
      <alignment horizontal="right"/>
    </xf>
    <xf numFmtId="0" fontId="24" fillId="0" borderId="0" xfId="0" applyFont="1"/>
    <xf numFmtId="1" fontId="20" fillId="0" borderId="0" xfId="0" applyNumberFormat="1" applyFont="1"/>
    <xf numFmtId="166" fontId="20" fillId="0" borderId="0" xfId="0" applyNumberFormat="1" applyFont="1"/>
    <xf numFmtId="0" fontId="8" fillId="0" borderId="3" xfId="8" applyFont="1" applyFill="1" applyBorder="1" applyAlignment="1"/>
    <xf numFmtId="0" fontId="25" fillId="0" borderId="4" xfId="8" applyFont="1" applyFill="1" applyBorder="1" applyAlignment="1">
      <alignment horizontal="left"/>
    </xf>
    <xf numFmtId="2" fontId="13" fillId="10" borderId="0" xfId="0" applyNumberFormat="1" applyFont="1" applyFill="1"/>
    <xf numFmtId="10" fontId="13" fillId="10" borderId="0" xfId="4" applyNumberFormat="1" applyFont="1" applyFill="1"/>
    <xf numFmtId="2" fontId="13" fillId="0" borderId="0" xfId="0" applyNumberFormat="1" applyFont="1" applyFill="1"/>
    <xf numFmtId="2" fontId="1" fillId="0" borderId="0" xfId="0" applyNumberFormat="1" applyFont="1" applyFill="1"/>
    <xf numFmtId="2" fontId="1" fillId="10" borderId="0" xfId="0" applyNumberFormat="1" applyFont="1" applyFill="1"/>
    <xf numFmtId="10" fontId="0" fillId="0" borderId="0" xfId="4" applyNumberFormat="1" applyFont="1" applyFill="1"/>
    <xf numFmtId="10" fontId="0" fillId="0" borderId="0" xfId="0" applyNumberFormat="1"/>
    <xf numFmtId="0" fontId="23" fillId="17" borderId="0" xfId="7"/>
    <xf numFmtId="0" fontId="0" fillId="0" borderId="0" xfId="0" applyFill="1" applyBorder="1"/>
    <xf numFmtId="0" fontId="0" fillId="0" borderId="0" xfId="0" applyFill="1" applyBorder="1" applyAlignment="1">
      <alignment wrapText="1"/>
    </xf>
    <xf numFmtId="0" fontId="0" fillId="0" borderId="0" xfId="0" quotePrefix="1" applyFill="1" applyBorder="1" applyAlignment="1">
      <alignment horizontal="left"/>
    </xf>
    <xf numFmtId="0" fontId="26" fillId="0" borderId="0" xfId="0" applyFont="1" applyAlignment="1">
      <alignment horizontal="left"/>
    </xf>
    <xf numFmtId="0" fontId="26" fillId="0" borderId="0" xfId="0" applyFont="1" applyAlignment="1">
      <alignment horizontal="right"/>
    </xf>
    <xf numFmtId="166" fontId="0" fillId="0" borderId="0" xfId="1" applyNumberFormat="1" applyFont="1" applyFill="1" applyAlignment="1" applyProtection="1">
      <alignment horizontal="right"/>
      <protection locked="0"/>
    </xf>
    <xf numFmtId="10" fontId="21" fillId="10" borderId="0" xfId="4" applyNumberFormat="1" applyFont="1" applyFill="1"/>
    <xf numFmtId="0" fontId="6" fillId="0" borderId="0" xfId="0" applyFont="1"/>
    <xf numFmtId="44" fontId="0" fillId="0" borderId="6" xfId="0" applyNumberFormat="1" applyBorder="1"/>
    <xf numFmtId="0" fontId="0" fillId="10" borderId="6" xfId="0" applyFill="1" applyBorder="1" applyAlignment="1">
      <alignment horizontal="left" indent="1"/>
    </xf>
    <xf numFmtId="0" fontId="0" fillId="10" borderId="6" xfId="0" applyFill="1" applyBorder="1"/>
    <xf numFmtId="44" fontId="0" fillId="10" borderId="6" xfId="2" applyFont="1" applyFill="1" applyBorder="1"/>
    <xf numFmtId="0" fontId="30" fillId="18" borderId="8" xfId="9" applyBorder="1"/>
    <xf numFmtId="44" fontId="30" fillId="18" borderId="8" xfId="9" applyNumberFormat="1" applyBorder="1"/>
    <xf numFmtId="0" fontId="0" fillId="10" borderId="7" xfId="0" applyFill="1" applyBorder="1" applyAlignment="1">
      <alignment horizontal="left" indent="1"/>
    </xf>
    <xf numFmtId="0" fontId="0" fillId="10" borderId="7" xfId="0" applyFill="1" applyBorder="1"/>
    <xf numFmtId="44" fontId="0" fillId="10" borderId="7" xfId="2" applyFont="1" applyFill="1" applyBorder="1"/>
    <xf numFmtId="44" fontId="0" fillId="0" borderId="7" xfId="0" applyNumberFormat="1" applyBorder="1"/>
    <xf numFmtId="0" fontId="30" fillId="18" borderId="9" xfId="9" applyBorder="1"/>
    <xf numFmtId="44" fontId="30" fillId="18" borderId="9" xfId="9" applyNumberFormat="1" applyBorder="1"/>
    <xf numFmtId="44" fontId="21" fillId="0" borderId="0" xfId="0" applyNumberFormat="1" applyFont="1" applyFill="1"/>
    <xf numFmtId="0" fontId="32" fillId="19" borderId="0" xfId="10" applyFont="1" applyAlignment="1">
      <alignment wrapText="1"/>
    </xf>
    <xf numFmtId="0" fontId="0" fillId="20" borderId="0" xfId="0" applyFill="1"/>
    <xf numFmtId="0" fontId="33" fillId="0" borderId="0" xfId="0" applyFont="1"/>
    <xf numFmtId="0" fontId="33" fillId="15" borderId="0" xfId="0" applyFont="1" applyFill="1"/>
    <xf numFmtId="174" fontId="21" fillId="4" borderId="0" xfId="0" applyNumberFormat="1" applyFont="1" applyFill="1"/>
    <xf numFmtId="43" fontId="0" fillId="0" borderId="0" xfId="0" applyNumberFormat="1" applyFill="1"/>
    <xf numFmtId="0" fontId="0" fillId="21" borderId="0" xfId="0" applyFill="1"/>
    <xf numFmtId="0" fontId="0" fillId="0" borderId="10" xfId="0" applyBorder="1"/>
    <xf numFmtId="8" fontId="0" fillId="0" borderId="10" xfId="2" applyNumberFormat="1" applyFont="1" applyBorder="1"/>
    <xf numFmtId="1" fontId="0" fillId="0" borderId="0" xfId="0" applyNumberFormat="1" applyAlignment="1">
      <alignment horizontal="center"/>
    </xf>
    <xf numFmtId="43" fontId="0" fillId="0" borderId="0" xfId="0" applyNumberFormat="1" applyFill="1" applyAlignment="1">
      <alignment horizontal="center"/>
    </xf>
    <xf numFmtId="8" fontId="0" fillId="0" borderId="10" xfId="0" applyNumberFormat="1" applyBorder="1"/>
    <xf numFmtId="8" fontId="0" fillId="0" borderId="10" xfId="0" applyNumberFormat="1" applyFill="1" applyBorder="1"/>
  </cellXfs>
  <cellStyles count="11">
    <cellStyle name="60% - Accent2" xfId="10" builtinId="36"/>
    <cellStyle name="Calculation" xfId="9" builtinId="22"/>
    <cellStyle name="Comma" xfId="1" builtinId="3"/>
    <cellStyle name="Currency" xfId="2" builtinId="4"/>
    <cellStyle name="Euro" xfId="3"/>
    <cellStyle name="Heading 1" xfId="5" builtinId="16"/>
    <cellStyle name="Neutral" xfId="7" builtinId="28"/>
    <cellStyle name="Normal" xfId="0" builtinId="0"/>
    <cellStyle name="Normal_BlankBudget" xfId="8"/>
    <cellStyle name="Note" xfId="6" builtinId="10"/>
    <cellStyle name="Percent" xfId="4" builtinId="5"/>
  </cellStyles>
  <dxfs count="0"/>
  <tableStyles count="0" defaultTableStyle="TableStyleMedium2" defaultPivotStyle="PivotStyleLight16"/>
  <colors>
    <mruColors>
      <color rgb="FFFFFFCC"/>
      <color rgb="FFFFFFFF"/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33"/>
  <sheetViews>
    <sheetView workbookViewId="0">
      <selection activeCell="B2" sqref="B2"/>
    </sheetView>
  </sheetViews>
  <sheetFormatPr defaultRowHeight="12.75" x14ac:dyDescent="0.2"/>
  <cols>
    <col min="1" max="1" width="4.42578125" customWidth="1"/>
    <col min="2" max="2" width="70.7109375" customWidth="1"/>
  </cols>
  <sheetData>
    <row r="2" spans="2:2" x14ac:dyDescent="0.2">
      <c r="B2" s="14" t="s">
        <v>105</v>
      </c>
    </row>
    <row r="3" spans="2:2" x14ac:dyDescent="0.2">
      <c r="B3" t="s">
        <v>113</v>
      </c>
    </row>
    <row r="4" spans="2:2" x14ac:dyDescent="0.2">
      <c r="B4" t="s">
        <v>114</v>
      </c>
    </row>
    <row r="5" spans="2:2" x14ac:dyDescent="0.2">
      <c r="B5" t="s">
        <v>104</v>
      </c>
    </row>
    <row r="7" spans="2:2" x14ac:dyDescent="0.2">
      <c r="B7" t="s">
        <v>106</v>
      </c>
    </row>
    <row r="8" spans="2:2" x14ac:dyDescent="0.2">
      <c r="B8" t="s">
        <v>107</v>
      </c>
    </row>
    <row r="9" spans="2:2" x14ac:dyDescent="0.2">
      <c r="B9" t="s">
        <v>108</v>
      </c>
    </row>
    <row r="10" spans="2:2" x14ac:dyDescent="0.2">
      <c r="B10" t="s">
        <v>109</v>
      </c>
    </row>
    <row r="11" spans="2:2" x14ac:dyDescent="0.2">
      <c r="B11" t="s">
        <v>110</v>
      </c>
    </row>
    <row r="12" spans="2:2" x14ac:dyDescent="0.2">
      <c r="B12" t="s">
        <v>111</v>
      </c>
    </row>
    <row r="13" spans="2:2" x14ac:dyDescent="0.2">
      <c r="B13" t="s">
        <v>112</v>
      </c>
    </row>
    <row r="14" spans="2:2" x14ac:dyDescent="0.2">
      <c r="B14" t="s">
        <v>182</v>
      </c>
    </row>
    <row r="15" spans="2:2" x14ac:dyDescent="0.2">
      <c r="B15" t="s">
        <v>181</v>
      </c>
    </row>
    <row r="16" spans="2:2" x14ac:dyDescent="0.2">
      <c r="B16" t="s">
        <v>183</v>
      </c>
    </row>
    <row r="20" spans="1:2" x14ac:dyDescent="0.2">
      <c r="B20" t="s">
        <v>121</v>
      </c>
    </row>
    <row r="21" spans="1:2" x14ac:dyDescent="0.2">
      <c r="B21" s="53">
        <v>41873</v>
      </c>
    </row>
    <row r="23" spans="1:2" x14ac:dyDescent="0.2">
      <c r="B23" t="s">
        <v>187</v>
      </c>
    </row>
    <row r="24" spans="1:2" x14ac:dyDescent="0.2">
      <c r="A24">
        <v>1</v>
      </c>
      <c r="B24" t="s">
        <v>188</v>
      </c>
    </row>
    <row r="25" spans="1:2" x14ac:dyDescent="0.2">
      <c r="B25" t="s">
        <v>189</v>
      </c>
    </row>
    <row r="27" spans="1:2" x14ac:dyDescent="0.2">
      <c r="A27">
        <v>2</v>
      </c>
      <c r="B27" t="s">
        <v>190</v>
      </c>
    </row>
    <row r="29" spans="1:2" x14ac:dyDescent="0.2">
      <c r="A29">
        <v>3</v>
      </c>
      <c r="B29" t="s">
        <v>191</v>
      </c>
    </row>
    <row r="31" spans="1:2" x14ac:dyDescent="0.2">
      <c r="A31">
        <v>4</v>
      </c>
      <c r="B31" t="s">
        <v>192</v>
      </c>
    </row>
    <row r="32" spans="1:2" x14ac:dyDescent="0.2">
      <c r="B32" t="s">
        <v>193</v>
      </c>
    </row>
    <row r="33" spans="2:2" x14ac:dyDescent="0.2">
      <c r="B33" t="s">
        <v>194</v>
      </c>
    </row>
  </sheetData>
  <phoneticPr fontId="12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79"/>
  <sheetViews>
    <sheetView zoomScale="90" zoomScaleNormal="90" workbookViewId="0">
      <selection activeCell="E7" sqref="E7"/>
    </sheetView>
  </sheetViews>
  <sheetFormatPr defaultRowHeight="12.75" x14ac:dyDescent="0.2"/>
  <cols>
    <col min="1" max="1" width="12.28515625" customWidth="1"/>
    <col min="2" max="2" width="20.5703125" customWidth="1"/>
    <col min="3" max="3" width="6.85546875" customWidth="1"/>
    <col min="5" max="5" width="11.7109375" bestFit="1" customWidth="1"/>
    <col min="6" max="6" width="12.5703125" customWidth="1"/>
    <col min="7" max="7" width="11.7109375" customWidth="1"/>
    <col min="10" max="10" width="10.28515625" customWidth="1"/>
    <col min="11" max="11" width="33.5703125" bestFit="1" customWidth="1"/>
    <col min="12" max="12" width="13.7109375" customWidth="1"/>
    <col min="14" max="14" width="11.42578125" customWidth="1"/>
    <col min="15" max="15" width="14.28515625" customWidth="1"/>
    <col min="16" max="16" width="12.85546875" customWidth="1"/>
    <col min="17" max="17" width="8.7109375" bestFit="1" customWidth="1"/>
    <col min="18" max="18" width="7.7109375" bestFit="1" customWidth="1"/>
    <col min="20" max="20" width="43.28515625" customWidth="1"/>
    <col min="22" max="22" width="14" bestFit="1" customWidth="1"/>
    <col min="23" max="23" width="6" bestFit="1" customWidth="1"/>
    <col min="24" max="24" width="10" bestFit="1" customWidth="1"/>
    <col min="25" max="25" width="44.85546875" customWidth="1"/>
  </cols>
  <sheetData>
    <row r="1" spans="1:28" ht="23.25" x14ac:dyDescent="0.35">
      <c r="A1" s="41" t="s">
        <v>255</v>
      </c>
      <c r="B1" s="42"/>
      <c r="C1" s="42"/>
      <c r="D1" s="42"/>
      <c r="E1" s="42"/>
      <c r="F1" s="42"/>
      <c r="G1" s="42"/>
      <c r="H1" s="42"/>
      <c r="T1" s="116" t="s">
        <v>197</v>
      </c>
      <c r="U1" s="116" t="s">
        <v>258</v>
      </c>
      <c r="V1" s="116"/>
      <c r="W1" s="116"/>
      <c r="X1" s="116"/>
    </row>
    <row r="2" spans="1:28" ht="15.75" x14ac:dyDescent="0.25">
      <c r="B2" t="s">
        <v>92</v>
      </c>
      <c r="K2" s="96" t="s">
        <v>16</v>
      </c>
      <c r="L2" s="15" t="s">
        <v>52</v>
      </c>
      <c r="M2" s="17"/>
      <c r="N2" s="17"/>
      <c r="O2" s="17"/>
      <c r="T2" s="34" t="s">
        <v>198</v>
      </c>
      <c r="U2" s="34" t="s">
        <v>199</v>
      </c>
      <c r="V2" s="34" t="s">
        <v>200</v>
      </c>
      <c r="W2" s="34" t="s">
        <v>76</v>
      </c>
      <c r="X2" s="34" t="s">
        <v>102</v>
      </c>
      <c r="Y2" s="34" t="s">
        <v>240</v>
      </c>
    </row>
    <row r="3" spans="1:28" ht="63" x14ac:dyDescent="0.25">
      <c r="C3" s="15" t="s">
        <v>52</v>
      </c>
      <c r="D3" s="17"/>
      <c r="E3" s="17"/>
      <c r="F3" s="17"/>
      <c r="J3" s="130" t="s">
        <v>247</v>
      </c>
      <c r="K3" s="71" t="s">
        <v>149</v>
      </c>
      <c r="L3" t="s">
        <v>61</v>
      </c>
      <c r="M3" s="38" t="s">
        <v>195</v>
      </c>
      <c r="N3" t="s">
        <v>75</v>
      </c>
      <c r="O3" t="s">
        <v>148</v>
      </c>
      <c r="P3" t="s">
        <v>154</v>
      </c>
      <c r="Q3" t="s">
        <v>58</v>
      </c>
      <c r="R3" t="s">
        <v>85</v>
      </c>
      <c r="T3" s="121" t="s">
        <v>201</v>
      </c>
      <c r="U3" s="121"/>
      <c r="V3" s="121"/>
      <c r="W3" s="121"/>
      <c r="X3" s="122">
        <f>SUM(X4:X7)</f>
        <v>115</v>
      </c>
      <c r="Y3" s="15" t="s">
        <v>52</v>
      </c>
      <c r="Z3" s="36"/>
      <c r="AA3" s="36"/>
      <c r="AB3" s="36"/>
    </row>
    <row r="4" spans="1:28" ht="25.5" x14ac:dyDescent="0.2">
      <c r="A4" s="71" t="s">
        <v>72</v>
      </c>
      <c r="D4" t="s">
        <v>73</v>
      </c>
      <c r="E4" s="38" t="s">
        <v>74</v>
      </c>
      <c r="F4" t="s">
        <v>75</v>
      </c>
      <c r="G4" t="s">
        <v>76</v>
      </c>
      <c r="H4" t="s">
        <v>77</v>
      </c>
      <c r="K4" t="s">
        <v>173</v>
      </c>
      <c r="L4" s="131" t="s">
        <v>244</v>
      </c>
      <c r="M4" s="85">
        <v>8</v>
      </c>
      <c r="N4" s="129">
        <f>X8</f>
        <v>535.77</v>
      </c>
      <c r="O4" s="85">
        <v>25</v>
      </c>
      <c r="P4" s="115">
        <v>0.05</v>
      </c>
      <c r="Q4">
        <f t="shared" ref="Q4:Q10" si="0">M4*N4</f>
        <v>4286.16</v>
      </c>
      <c r="R4" s="1">
        <f>((Q4-(Q4*P4))/O4)/'Stocking Rate Equations'!$G$10</f>
        <v>1.017963</v>
      </c>
      <c r="T4" s="123" t="s">
        <v>202</v>
      </c>
      <c r="U4" s="124">
        <v>3</v>
      </c>
      <c r="V4" s="125">
        <v>22</v>
      </c>
      <c r="W4" s="124" t="s">
        <v>211</v>
      </c>
      <c r="X4" s="126">
        <f>V4*U4</f>
        <v>66</v>
      </c>
      <c r="Y4" s="124"/>
    </row>
    <row r="5" spans="1:28" ht="14.25" x14ac:dyDescent="0.2">
      <c r="A5" t="s">
        <v>78</v>
      </c>
      <c r="E5" s="36"/>
      <c r="F5" s="84"/>
      <c r="G5" t="s">
        <v>128</v>
      </c>
      <c r="H5" s="81">
        <f>SUM(R15:R18)</f>
        <v>128.5</v>
      </c>
      <c r="K5" t="s">
        <v>174</v>
      </c>
      <c r="L5" s="131" t="s">
        <v>99</v>
      </c>
      <c r="M5" s="85">
        <v>0</v>
      </c>
      <c r="N5" s="129">
        <f>X24</f>
        <v>0</v>
      </c>
      <c r="O5" s="85">
        <v>25</v>
      </c>
      <c r="P5" s="115">
        <v>0.05</v>
      </c>
      <c r="Q5">
        <f t="shared" si="0"/>
        <v>0</v>
      </c>
      <c r="R5" s="1">
        <f>((Q5-(Q5*P5))/O5)/'Stocking Rate Equations'!$G$10</f>
        <v>0</v>
      </c>
      <c r="T5" s="123" t="s">
        <v>203</v>
      </c>
      <c r="U5" s="124">
        <v>2</v>
      </c>
      <c r="V5" s="125">
        <v>10</v>
      </c>
      <c r="W5" s="124" t="s">
        <v>211</v>
      </c>
      <c r="X5" s="126">
        <f>V5*U5</f>
        <v>20</v>
      </c>
      <c r="Y5" s="124"/>
    </row>
    <row r="6" spans="1:28" ht="14.25" x14ac:dyDescent="0.2">
      <c r="A6" t="s">
        <v>82</v>
      </c>
      <c r="B6" t="s">
        <v>83</v>
      </c>
      <c r="D6" s="39"/>
      <c r="E6" s="36"/>
      <c r="F6" s="84"/>
      <c r="G6" t="s">
        <v>128</v>
      </c>
      <c r="H6" s="81">
        <f>R12</f>
        <v>0.18529800238095237</v>
      </c>
      <c r="K6" t="s">
        <v>242</v>
      </c>
      <c r="L6" s="131" t="s">
        <v>245</v>
      </c>
      <c r="M6" s="85">
        <v>1</v>
      </c>
      <c r="N6" s="129">
        <f>X19</f>
        <v>464.25</v>
      </c>
      <c r="O6" s="85">
        <v>7</v>
      </c>
      <c r="P6" s="115">
        <v>0</v>
      </c>
      <c r="Q6">
        <f t="shared" si="0"/>
        <v>464.25</v>
      </c>
      <c r="R6" s="1">
        <f>((Q6-(Q6*P6))/O6)/'Stocking Rate Equations'!$G$10</f>
        <v>0.41450892857142857</v>
      </c>
      <c r="T6" s="123" t="s">
        <v>204</v>
      </c>
      <c r="U6" s="124">
        <v>2</v>
      </c>
      <c r="V6" s="125">
        <v>7</v>
      </c>
      <c r="W6" s="124" t="s">
        <v>211</v>
      </c>
      <c r="X6" s="126">
        <f t="shared" ref="X6:X36" si="1">V6*U6</f>
        <v>14</v>
      </c>
      <c r="Y6" s="124"/>
    </row>
    <row r="7" spans="1:28" ht="14.25" x14ac:dyDescent="0.2">
      <c r="B7" t="s">
        <v>130</v>
      </c>
      <c r="D7" s="39"/>
      <c r="E7" s="85">
        <v>0.25</v>
      </c>
      <c r="F7" s="88">
        <v>11</v>
      </c>
      <c r="G7" t="s">
        <v>84</v>
      </c>
      <c r="H7" s="81">
        <f>E7*F7</f>
        <v>2.75</v>
      </c>
      <c r="K7" t="s">
        <v>241</v>
      </c>
      <c r="L7" s="131" t="s">
        <v>100</v>
      </c>
      <c r="M7" s="85">
        <v>4</v>
      </c>
      <c r="N7" s="129">
        <f>X3</f>
        <v>115</v>
      </c>
      <c r="O7" s="85">
        <v>25</v>
      </c>
      <c r="P7" s="115">
        <v>0.1</v>
      </c>
      <c r="Q7">
        <f t="shared" si="0"/>
        <v>460</v>
      </c>
      <c r="R7" s="1">
        <f>((Q7-(Q7*P7))/O7)/'Stocking Rate Equations'!$G$10</f>
        <v>0.10349999999999999</v>
      </c>
      <c r="T7" s="123" t="s">
        <v>205</v>
      </c>
      <c r="U7" s="124">
        <v>1</v>
      </c>
      <c r="V7" s="125">
        <v>15</v>
      </c>
      <c r="W7" s="124" t="s">
        <v>211</v>
      </c>
      <c r="X7" s="126">
        <f t="shared" si="1"/>
        <v>15</v>
      </c>
      <c r="Y7" s="124"/>
    </row>
    <row r="8" spans="1:28" ht="15" x14ac:dyDescent="0.25">
      <c r="B8" t="s">
        <v>131</v>
      </c>
      <c r="D8" s="39"/>
      <c r="E8" s="85">
        <v>0</v>
      </c>
      <c r="F8" s="88">
        <v>14.5</v>
      </c>
      <c r="G8" t="s">
        <v>84</v>
      </c>
      <c r="H8" s="81">
        <f>E8*F8</f>
        <v>0</v>
      </c>
      <c r="K8" t="s">
        <v>246</v>
      </c>
      <c r="L8" s="131" t="s">
        <v>100</v>
      </c>
      <c r="M8" s="85">
        <v>1</v>
      </c>
      <c r="N8" s="129">
        <f>X29</f>
        <v>53</v>
      </c>
      <c r="O8" s="85">
        <v>7</v>
      </c>
      <c r="P8" s="115">
        <v>0</v>
      </c>
      <c r="Q8">
        <f t="shared" si="0"/>
        <v>53</v>
      </c>
      <c r="R8" s="1">
        <f>((Q8-(Q8*P8))/O8)/'Stocking Rate Equations'!$G$10</f>
        <v>4.732142857142857E-2</v>
      </c>
      <c r="T8" s="127" t="s">
        <v>206</v>
      </c>
      <c r="U8" s="127"/>
      <c r="V8" s="128"/>
      <c r="W8" s="127"/>
      <c r="X8" s="128">
        <f>SUM(X9:X12)</f>
        <v>535.77</v>
      </c>
      <c r="Y8" s="127"/>
    </row>
    <row r="9" spans="1:28" ht="14.25" x14ac:dyDescent="0.2">
      <c r="B9" t="s">
        <v>123</v>
      </c>
      <c r="D9" s="39"/>
      <c r="E9" s="85">
        <v>1</v>
      </c>
      <c r="F9" s="88">
        <v>6</v>
      </c>
      <c r="G9" t="s">
        <v>128</v>
      </c>
      <c r="H9" s="81">
        <f>E9*F9</f>
        <v>6</v>
      </c>
      <c r="K9" t="s">
        <v>243</v>
      </c>
      <c r="L9" s="131" t="s">
        <v>100</v>
      </c>
      <c r="M9" s="85">
        <v>1</v>
      </c>
      <c r="N9" s="129">
        <f>X13</f>
        <v>258.79999999999995</v>
      </c>
      <c r="O9" s="85">
        <v>15</v>
      </c>
      <c r="P9" s="115">
        <v>0.2</v>
      </c>
      <c r="Q9">
        <f t="shared" si="0"/>
        <v>258.79999999999995</v>
      </c>
      <c r="R9" s="1">
        <f>((Q9-(Q9*P9))/O9)/'Stocking Rate Equations'!$G$10</f>
        <v>8.6266666666666644E-2</v>
      </c>
      <c r="T9" s="123" t="s">
        <v>207</v>
      </c>
      <c r="U9" s="124">
        <v>52</v>
      </c>
      <c r="V9" s="125">
        <v>8.85</v>
      </c>
      <c r="W9" s="124" t="s">
        <v>211</v>
      </c>
      <c r="X9" s="126">
        <f t="shared" si="1"/>
        <v>460.2</v>
      </c>
      <c r="Y9" s="124" t="s">
        <v>208</v>
      </c>
    </row>
    <row r="10" spans="1:28" ht="14.25" x14ac:dyDescent="0.2">
      <c r="B10" t="s">
        <v>132</v>
      </c>
      <c r="D10" s="14"/>
      <c r="E10" s="85">
        <v>1</v>
      </c>
      <c r="F10" s="88">
        <v>0</v>
      </c>
      <c r="G10" t="s">
        <v>128</v>
      </c>
      <c r="H10" s="81">
        <f>E10*F10</f>
        <v>0</v>
      </c>
      <c r="K10" s="71" t="s">
        <v>175</v>
      </c>
      <c r="L10" s="131" t="s">
        <v>151</v>
      </c>
      <c r="M10" s="85">
        <v>1</v>
      </c>
      <c r="N10" s="129">
        <f>X37</f>
        <v>815.2</v>
      </c>
      <c r="O10" s="85">
        <v>25</v>
      </c>
      <c r="P10" s="115">
        <v>0.1</v>
      </c>
      <c r="Q10">
        <f t="shared" si="0"/>
        <v>815.2</v>
      </c>
      <c r="R10" s="1">
        <f>((Q10-(Q10*P10))/O10)/'Stocking Rate Equations'!$G$10</f>
        <v>0.18342</v>
      </c>
      <c r="T10" s="123" t="s">
        <v>209</v>
      </c>
      <c r="U10" s="124">
        <v>2</v>
      </c>
      <c r="V10" s="125">
        <v>3.25</v>
      </c>
      <c r="W10" s="124" t="s">
        <v>211</v>
      </c>
      <c r="X10" s="126">
        <f t="shared" si="1"/>
        <v>6.5</v>
      </c>
      <c r="Y10" s="124"/>
    </row>
    <row r="11" spans="1:28" ht="14.25" x14ac:dyDescent="0.2">
      <c r="A11" t="s">
        <v>158</v>
      </c>
      <c r="E11" s="86">
        <v>1</v>
      </c>
      <c r="F11" s="87">
        <v>0</v>
      </c>
      <c r="G11" t="s">
        <v>128</v>
      </c>
      <c r="H11" s="81">
        <f>E11*F11</f>
        <v>0</v>
      </c>
      <c r="L11" t="s">
        <v>98</v>
      </c>
      <c r="Q11">
        <f>SUM(Q4:Q10)</f>
        <v>6337.41</v>
      </c>
      <c r="R11" s="1">
        <f>SUM(R4:R10)</f>
        <v>1.8529800238095235</v>
      </c>
      <c r="T11" s="123" t="s">
        <v>257</v>
      </c>
      <c r="U11" s="124">
        <v>2275</v>
      </c>
      <c r="V11" s="125">
        <v>2.7E-2</v>
      </c>
      <c r="W11" s="124" t="s">
        <v>212</v>
      </c>
      <c r="X11" s="126">
        <f t="shared" si="1"/>
        <v>61.424999999999997</v>
      </c>
      <c r="Y11" s="124"/>
    </row>
    <row r="12" spans="1:28" x14ac:dyDescent="0.2">
      <c r="K12" s="71" t="s">
        <v>150</v>
      </c>
      <c r="L12" s="48" t="s">
        <v>256</v>
      </c>
      <c r="Q12" s="1"/>
      <c r="R12" s="1">
        <f>R11*0.1</f>
        <v>0.18529800238095237</v>
      </c>
      <c r="T12" s="123" t="s">
        <v>222</v>
      </c>
      <c r="U12" s="124">
        <v>1.1000000000000001</v>
      </c>
      <c r="V12" s="125">
        <v>6.95</v>
      </c>
      <c r="W12" s="124" t="s">
        <v>211</v>
      </c>
      <c r="X12" s="126">
        <f t="shared" si="1"/>
        <v>7.6450000000000005</v>
      </c>
      <c r="Y12" s="124" t="s">
        <v>223</v>
      </c>
    </row>
    <row r="13" spans="1:28" ht="15" x14ac:dyDescent="0.25">
      <c r="B13" t="s">
        <v>86</v>
      </c>
      <c r="E13" s="58">
        <f>SUM(H5:H12)</f>
        <v>137.43529800238096</v>
      </c>
      <c r="F13" s="92">
        <v>0.06</v>
      </c>
      <c r="H13" s="81">
        <f>E13*F13*(6/12)</f>
        <v>4.123058940071429</v>
      </c>
      <c r="T13" s="127" t="s">
        <v>213</v>
      </c>
      <c r="U13" s="127"/>
      <c r="V13" s="128"/>
      <c r="W13" s="127"/>
      <c r="X13" s="128">
        <f>SUM(X14:X18)</f>
        <v>258.79999999999995</v>
      </c>
      <c r="Y13" s="127"/>
    </row>
    <row r="14" spans="1:28" ht="14.25" x14ac:dyDescent="0.2">
      <c r="C14" s="71" t="s">
        <v>87</v>
      </c>
      <c r="H14" s="83">
        <f>SUM(H5:H13)</f>
        <v>141.55835694245238</v>
      </c>
      <c r="K14" s="71" t="s">
        <v>78</v>
      </c>
      <c r="T14" s="123" t="s">
        <v>214</v>
      </c>
      <c r="U14" s="124">
        <v>1</v>
      </c>
      <c r="V14" s="125">
        <v>8.5</v>
      </c>
      <c r="W14" s="124" t="s">
        <v>211</v>
      </c>
      <c r="X14" s="126">
        <f t="shared" si="1"/>
        <v>8.5</v>
      </c>
      <c r="Y14" s="124"/>
    </row>
    <row r="15" spans="1:28" ht="14.25" x14ac:dyDescent="0.2">
      <c r="K15" t="s">
        <v>79</v>
      </c>
      <c r="L15" t="s">
        <v>125</v>
      </c>
      <c r="M15" s="86">
        <v>30</v>
      </c>
      <c r="N15" s="87">
        <v>1.9</v>
      </c>
      <c r="O15" s="77"/>
      <c r="P15" s="78"/>
      <c r="R15" s="39">
        <f>M15*N15</f>
        <v>57</v>
      </c>
      <c r="T15" s="123" t="s">
        <v>215</v>
      </c>
      <c r="U15" s="124">
        <v>6</v>
      </c>
      <c r="V15" s="125">
        <v>10.95</v>
      </c>
      <c r="W15" s="124" t="s">
        <v>211</v>
      </c>
      <c r="X15" s="126">
        <f t="shared" si="1"/>
        <v>65.699999999999989</v>
      </c>
      <c r="Y15" s="124"/>
    </row>
    <row r="16" spans="1:28" ht="14.25" x14ac:dyDescent="0.2">
      <c r="A16" s="71" t="s">
        <v>88</v>
      </c>
      <c r="H16" s="82"/>
      <c r="K16" t="s">
        <v>80</v>
      </c>
      <c r="L16" t="s">
        <v>125</v>
      </c>
      <c r="M16" s="86">
        <v>30</v>
      </c>
      <c r="N16" s="87">
        <v>0.48</v>
      </c>
      <c r="O16" s="77"/>
      <c r="P16" s="78"/>
      <c r="R16" s="39">
        <f>M16*N16</f>
        <v>14.399999999999999</v>
      </c>
      <c r="T16" s="123" t="s">
        <v>216</v>
      </c>
      <c r="U16" s="124">
        <v>8</v>
      </c>
      <c r="V16" s="125">
        <v>1.95</v>
      </c>
      <c r="W16" s="124" t="s">
        <v>211</v>
      </c>
      <c r="X16" s="126">
        <f t="shared" si="1"/>
        <v>15.6</v>
      </c>
      <c r="Y16" s="124"/>
    </row>
    <row r="17" spans="2:30" ht="14.25" x14ac:dyDescent="0.2">
      <c r="H17" s="82"/>
      <c r="K17" t="s">
        <v>81</v>
      </c>
      <c r="L17" t="s">
        <v>84</v>
      </c>
      <c r="M17" s="86">
        <v>1.1000000000000001</v>
      </c>
      <c r="N17" s="87">
        <v>11</v>
      </c>
      <c r="O17" s="77"/>
      <c r="P17" s="78"/>
      <c r="R17" s="39">
        <f>M17*N17</f>
        <v>12.100000000000001</v>
      </c>
      <c r="T17" s="123" t="s">
        <v>231</v>
      </c>
      <c r="U17" s="124">
        <v>1</v>
      </c>
      <c r="V17" s="125">
        <v>9</v>
      </c>
      <c r="W17" s="124" t="s">
        <v>211</v>
      </c>
      <c r="X17" s="126">
        <f t="shared" si="1"/>
        <v>9</v>
      </c>
      <c r="Y17" s="124"/>
    </row>
    <row r="18" spans="2:30" ht="14.25" x14ac:dyDescent="0.2">
      <c r="B18" t="s">
        <v>159</v>
      </c>
      <c r="D18" t="s">
        <v>95</v>
      </c>
      <c r="H18" s="82"/>
      <c r="K18" t="s">
        <v>124</v>
      </c>
      <c r="L18" t="s">
        <v>128</v>
      </c>
      <c r="M18" s="86">
        <v>1</v>
      </c>
      <c r="N18" s="88">
        <v>45</v>
      </c>
      <c r="O18" s="77"/>
      <c r="P18" s="78"/>
      <c r="R18" s="39">
        <f>M18*N18</f>
        <v>45</v>
      </c>
      <c r="T18" s="123" t="s">
        <v>217</v>
      </c>
      <c r="U18" s="124">
        <v>1</v>
      </c>
      <c r="V18" s="125">
        <v>160</v>
      </c>
      <c r="W18" s="124" t="s">
        <v>211</v>
      </c>
      <c r="X18" s="126">
        <f t="shared" si="1"/>
        <v>160</v>
      </c>
      <c r="Y18" s="124"/>
    </row>
    <row r="19" spans="2:30" ht="15" x14ac:dyDescent="0.25">
      <c r="B19" s="30">
        <f>R11+(R11*$F$13)</f>
        <v>1.964158825238095</v>
      </c>
      <c r="D19" s="30">
        <f>R20</f>
        <v>17.569499999999998</v>
      </c>
      <c r="H19" s="81">
        <f>B19+D19</f>
        <v>19.533658825238092</v>
      </c>
      <c r="K19" s="73" t="s">
        <v>101</v>
      </c>
      <c r="L19" s="73" t="s">
        <v>153</v>
      </c>
      <c r="M19" s="73" t="s">
        <v>148</v>
      </c>
      <c r="N19" s="73" t="s">
        <v>154</v>
      </c>
      <c r="O19" s="112" t="s">
        <v>177</v>
      </c>
      <c r="P19" s="113" t="s">
        <v>176</v>
      </c>
      <c r="T19" s="127" t="s">
        <v>239</v>
      </c>
      <c r="U19" s="127"/>
      <c r="V19" s="127"/>
      <c r="W19" s="127"/>
      <c r="X19" s="128">
        <f>SUM(X20:X23)</f>
        <v>464.25</v>
      </c>
      <c r="Y19" s="127"/>
    </row>
    <row r="20" spans="2:30" ht="14.25" x14ac:dyDescent="0.2">
      <c r="B20" t="s">
        <v>179</v>
      </c>
      <c r="H20" s="93">
        <f>R22</f>
        <v>0</v>
      </c>
      <c r="K20" s="85" t="s">
        <v>152</v>
      </c>
      <c r="L20" s="89">
        <v>78000</v>
      </c>
      <c r="M20" s="90">
        <v>25</v>
      </c>
      <c r="N20" s="91">
        <v>0.15</v>
      </c>
      <c r="O20" s="79">
        <f>((L20-(L20*N20))/M20)/'Stocking Rate Equations'!G10</f>
        <v>16.574999999999999</v>
      </c>
      <c r="P20" s="80">
        <f>O20*F13</f>
        <v>0.99449999999999994</v>
      </c>
      <c r="R20" s="80">
        <f>O20+P20</f>
        <v>17.569499999999998</v>
      </c>
      <c r="T20" s="123" t="s">
        <v>218</v>
      </c>
      <c r="U20" s="124">
        <v>3</v>
      </c>
      <c r="V20" s="125">
        <v>55</v>
      </c>
      <c r="W20" s="124" t="s">
        <v>211</v>
      </c>
      <c r="X20" s="126">
        <f t="shared" si="1"/>
        <v>165</v>
      </c>
      <c r="Y20" s="124"/>
    </row>
    <row r="21" spans="2:30" ht="14.25" x14ac:dyDescent="0.2">
      <c r="B21" t="s">
        <v>155</v>
      </c>
      <c r="H21" s="93">
        <f>R24</f>
        <v>12</v>
      </c>
      <c r="K21" s="73" t="s">
        <v>179</v>
      </c>
      <c r="T21" s="123" t="s">
        <v>219</v>
      </c>
      <c r="U21" s="124">
        <v>3</v>
      </c>
      <c r="V21" s="125">
        <v>36</v>
      </c>
      <c r="W21" s="124" t="s">
        <v>211</v>
      </c>
      <c r="X21" s="126">
        <f t="shared" si="1"/>
        <v>108</v>
      </c>
      <c r="Y21" s="124"/>
    </row>
    <row r="22" spans="2:30" ht="14.25" x14ac:dyDescent="0.2">
      <c r="E22" t="s">
        <v>96</v>
      </c>
      <c r="F22" t="s">
        <v>97</v>
      </c>
      <c r="H22" s="81"/>
      <c r="K22" t="s">
        <v>180</v>
      </c>
      <c r="L22" s="89">
        <v>0</v>
      </c>
      <c r="M22" s="89">
        <v>20</v>
      </c>
      <c r="N22" s="91">
        <v>0.1</v>
      </c>
      <c r="O22" s="79">
        <f>((L22-(L22*N22))/M22)/'Stocking Rate Equations'!G10</f>
        <v>0</v>
      </c>
      <c r="P22" s="80">
        <f>O22*F13</f>
        <v>0</v>
      </c>
      <c r="R22" s="80">
        <f>O22+P22</f>
        <v>0</v>
      </c>
      <c r="T22" s="123" t="s">
        <v>220</v>
      </c>
      <c r="U22" s="124">
        <v>3</v>
      </c>
      <c r="V22" s="125">
        <v>5</v>
      </c>
      <c r="W22" s="124" t="s">
        <v>211</v>
      </c>
      <c r="X22" s="126">
        <f t="shared" si="1"/>
        <v>15</v>
      </c>
      <c r="Y22" s="124"/>
    </row>
    <row r="23" spans="2:30" ht="14.25" x14ac:dyDescent="0.2">
      <c r="B23" t="s">
        <v>89</v>
      </c>
      <c r="E23" s="94">
        <f>N27</f>
        <v>750</v>
      </c>
      <c r="F23" s="134">
        <v>8.9999999999999993E-3</v>
      </c>
      <c r="H23" s="81">
        <f>E23*F23</f>
        <v>6.7499999999999991</v>
      </c>
      <c r="K23" s="73" t="s">
        <v>155</v>
      </c>
      <c r="L23" s="73" t="s">
        <v>156</v>
      </c>
      <c r="M23" s="73" t="s">
        <v>157</v>
      </c>
      <c r="P23" s="52"/>
      <c r="T23" s="123" t="s">
        <v>221</v>
      </c>
      <c r="U23" s="124">
        <v>75</v>
      </c>
      <c r="V23" s="125">
        <v>2.35</v>
      </c>
      <c r="W23" s="124" t="s">
        <v>211</v>
      </c>
      <c r="X23" s="126">
        <f t="shared" si="1"/>
        <v>176.25</v>
      </c>
      <c r="Y23" s="124"/>
    </row>
    <row r="24" spans="2:30" ht="15" x14ac:dyDescent="0.25">
      <c r="B24" t="s">
        <v>126</v>
      </c>
      <c r="E24" s="49"/>
      <c r="H24" s="93">
        <f>-P28</f>
        <v>16.246624074320959</v>
      </c>
      <c r="L24" s="85">
        <v>300</v>
      </c>
      <c r="M24" s="85">
        <v>25</v>
      </c>
      <c r="P24" s="52"/>
      <c r="R24" s="79">
        <f>L24/M24</f>
        <v>12</v>
      </c>
      <c r="T24" s="127" t="s">
        <v>174</v>
      </c>
      <c r="U24" s="127"/>
      <c r="V24" s="127"/>
      <c r="W24" s="127"/>
      <c r="X24" s="128">
        <f>SUM(X25:X28)</f>
        <v>0</v>
      </c>
      <c r="Y24" s="127"/>
    </row>
    <row r="25" spans="2:30" ht="14.25" x14ac:dyDescent="0.2">
      <c r="C25" s="71" t="s">
        <v>90</v>
      </c>
      <c r="H25" s="83">
        <f>SUM(H19:H24)</f>
        <v>54.530282899559054</v>
      </c>
      <c r="T25" s="123" t="s">
        <v>207</v>
      </c>
      <c r="U25" s="124"/>
      <c r="V25" s="125"/>
      <c r="W25" s="124" t="s">
        <v>211</v>
      </c>
      <c r="X25" s="126">
        <f t="shared" si="1"/>
        <v>0</v>
      </c>
      <c r="Y25" s="124" t="s">
        <v>208</v>
      </c>
    </row>
    <row r="26" spans="2:30" ht="14.25" x14ac:dyDescent="0.2">
      <c r="C26" s="71" t="s">
        <v>91</v>
      </c>
      <c r="H26" s="83">
        <f>H14+H25</f>
        <v>196.08863984201145</v>
      </c>
      <c r="M26" t="s">
        <v>115</v>
      </c>
      <c r="N26" t="s">
        <v>116</v>
      </c>
      <c r="O26" t="s">
        <v>117</v>
      </c>
      <c r="T26" s="123" t="s">
        <v>209</v>
      </c>
      <c r="U26" s="124"/>
      <c r="V26" s="125"/>
      <c r="W26" s="124" t="s">
        <v>211</v>
      </c>
      <c r="X26" s="126">
        <f t="shared" si="1"/>
        <v>0</v>
      </c>
      <c r="Y26" s="124"/>
    </row>
    <row r="27" spans="2:30" x14ac:dyDescent="0.2">
      <c r="K27" t="s">
        <v>178</v>
      </c>
      <c r="M27" s="85">
        <v>160</v>
      </c>
      <c r="N27" s="85">
        <v>750</v>
      </c>
      <c r="O27">
        <f>M27*N27</f>
        <v>120000</v>
      </c>
      <c r="T27" s="123" t="s">
        <v>210</v>
      </c>
      <c r="U27" s="124"/>
      <c r="V27" s="125"/>
      <c r="W27" s="124" t="s">
        <v>212</v>
      </c>
      <c r="X27" s="126">
        <f t="shared" si="1"/>
        <v>0</v>
      </c>
      <c r="Y27" s="124"/>
    </row>
    <row r="28" spans="2:30" ht="22.5" x14ac:dyDescent="0.2">
      <c r="K28" s="51" t="s">
        <v>120</v>
      </c>
      <c r="M28" t="s">
        <v>118</v>
      </c>
      <c r="N28" s="47">
        <f>PMT(0.05,20,O27*0.65,,0)</f>
        <v>-6258.9218008739226</v>
      </c>
      <c r="O28" s="51" t="s">
        <v>119</v>
      </c>
      <c r="P28" s="47">
        <f>IPMT(0.05,10,20,N27*0.65)</f>
        <v>-16.246624074320959</v>
      </c>
      <c r="T28" s="123" t="s">
        <v>222</v>
      </c>
      <c r="U28" s="124"/>
      <c r="V28" s="125"/>
      <c r="W28" s="124" t="s">
        <v>211</v>
      </c>
      <c r="X28" s="126">
        <f t="shared" si="1"/>
        <v>0</v>
      </c>
      <c r="Y28" s="124" t="s">
        <v>223</v>
      </c>
      <c r="AD28" s="1"/>
    </row>
    <row r="29" spans="2:30" ht="15" x14ac:dyDescent="0.25">
      <c r="J29" s="45"/>
      <c r="K29" s="45"/>
      <c r="L29" s="45"/>
      <c r="M29" s="45"/>
      <c r="N29" s="45"/>
      <c r="O29" s="45"/>
      <c r="P29" s="45"/>
      <c r="Q29" s="45"/>
      <c r="R29" s="45"/>
      <c r="T29" s="127" t="s">
        <v>230</v>
      </c>
      <c r="U29" s="127"/>
      <c r="V29" s="127"/>
      <c r="W29" s="127"/>
      <c r="X29" s="128">
        <f>SUM(X30:X36)</f>
        <v>53</v>
      </c>
      <c r="Y29" s="127"/>
    </row>
    <row r="30" spans="2:30" x14ac:dyDescent="0.2">
      <c r="T30" s="123" t="s">
        <v>224</v>
      </c>
      <c r="U30" s="124">
        <v>1</v>
      </c>
      <c r="V30" s="125">
        <v>20</v>
      </c>
      <c r="W30" s="124" t="s">
        <v>211</v>
      </c>
      <c r="X30" s="126">
        <f t="shared" si="1"/>
        <v>20</v>
      </c>
      <c r="Y30" s="124" t="s">
        <v>225</v>
      </c>
    </row>
    <row r="31" spans="2:30" ht="39" x14ac:dyDescent="0.25">
      <c r="J31" s="96" t="s">
        <v>20</v>
      </c>
      <c r="L31" s="38" t="s">
        <v>76</v>
      </c>
      <c r="M31" s="38" t="s">
        <v>163</v>
      </c>
      <c r="N31" s="38" t="s">
        <v>161</v>
      </c>
      <c r="O31" s="38" t="s">
        <v>166</v>
      </c>
      <c r="P31" s="38" t="s">
        <v>162</v>
      </c>
      <c r="Q31" s="38" t="s">
        <v>164</v>
      </c>
      <c r="T31" s="123" t="s">
        <v>226</v>
      </c>
      <c r="U31" s="124">
        <v>1</v>
      </c>
      <c r="V31" s="125">
        <v>8.5</v>
      </c>
      <c r="W31" s="124" t="s">
        <v>227</v>
      </c>
      <c r="X31" s="126">
        <f t="shared" si="1"/>
        <v>8.5</v>
      </c>
      <c r="Y31" s="124"/>
    </row>
    <row r="32" spans="2:30" ht="14.25" x14ac:dyDescent="0.2">
      <c r="K32" s="99" t="s">
        <v>9</v>
      </c>
      <c r="L32" s="101" t="s">
        <v>71</v>
      </c>
      <c r="M32" s="101">
        <v>1</v>
      </c>
      <c r="N32" s="101">
        <v>1.25</v>
      </c>
      <c r="O32" s="4">
        <f>M32*N32</f>
        <v>1.25</v>
      </c>
      <c r="P32" s="4">
        <f>O32*'Stocking Rate Equations'!$C$22</f>
        <v>375</v>
      </c>
      <c r="Q32" s="4">
        <f>O32*'Stocking Rate Equations'!$D$22</f>
        <v>2.4671052631578947</v>
      </c>
      <c r="T32" s="123" t="s">
        <v>220</v>
      </c>
      <c r="U32" s="124">
        <v>1</v>
      </c>
      <c r="V32" s="125">
        <v>5</v>
      </c>
      <c r="W32" s="124" t="s">
        <v>211</v>
      </c>
      <c r="X32" s="126">
        <f t="shared" si="1"/>
        <v>5</v>
      </c>
      <c r="Y32" s="124"/>
    </row>
    <row r="33" spans="10:25" ht="14.25" x14ac:dyDescent="0.2">
      <c r="K33" s="99" t="s">
        <v>11</v>
      </c>
      <c r="L33" s="101" t="s">
        <v>71</v>
      </c>
      <c r="M33" s="101">
        <v>1</v>
      </c>
      <c r="N33" s="101">
        <v>0</v>
      </c>
      <c r="O33" s="4">
        <f t="shared" ref="O33:O39" si="2">M33*N33</f>
        <v>0</v>
      </c>
      <c r="P33" s="4">
        <f>O33*'Stocking Rate Equations'!$C$22</f>
        <v>0</v>
      </c>
      <c r="Q33" s="4">
        <f>O33*'Stocking Rate Equations'!$D$22</f>
        <v>0</v>
      </c>
      <c r="T33" s="123" t="s">
        <v>228</v>
      </c>
      <c r="U33" s="124">
        <v>1</v>
      </c>
      <c r="V33" s="125">
        <v>2</v>
      </c>
      <c r="W33" s="124" t="s">
        <v>211</v>
      </c>
      <c r="X33" s="126">
        <f t="shared" si="1"/>
        <v>2</v>
      </c>
      <c r="Y33" s="124"/>
    </row>
    <row r="34" spans="10:25" ht="14.25" x14ac:dyDescent="0.2">
      <c r="K34" s="99" t="s">
        <v>14</v>
      </c>
      <c r="L34" s="101" t="s">
        <v>71</v>
      </c>
      <c r="M34" s="101">
        <v>10.5</v>
      </c>
      <c r="N34" s="101">
        <v>0.1</v>
      </c>
      <c r="O34" s="4">
        <f t="shared" si="2"/>
        <v>1.05</v>
      </c>
      <c r="P34" s="4">
        <f>O34*'Stocking Rate Equations'!$C$22</f>
        <v>315</v>
      </c>
      <c r="Q34" s="4">
        <f>O34*'Stocking Rate Equations'!$D$22</f>
        <v>2.0723684210526314</v>
      </c>
      <c r="T34" s="123" t="s">
        <v>229</v>
      </c>
      <c r="U34" s="124">
        <v>15</v>
      </c>
      <c r="V34" s="125">
        <v>0.5</v>
      </c>
      <c r="W34" s="124" t="s">
        <v>212</v>
      </c>
      <c r="X34" s="126">
        <f t="shared" si="1"/>
        <v>7.5</v>
      </c>
      <c r="Y34" s="124"/>
    </row>
    <row r="35" spans="10:25" ht="14.25" x14ac:dyDescent="0.2">
      <c r="K35" s="99" t="s">
        <v>10</v>
      </c>
      <c r="L35" s="101" t="s">
        <v>71</v>
      </c>
      <c r="M35" s="101">
        <v>1</v>
      </c>
      <c r="N35" s="101">
        <v>0</v>
      </c>
      <c r="O35" s="4">
        <f t="shared" ref="O35:O36" si="3">M35*N35</f>
        <v>0</v>
      </c>
      <c r="P35" s="4">
        <f>O35*'Stocking Rate Equations'!$C$22</f>
        <v>0</v>
      </c>
      <c r="Q35" s="4">
        <f>O35*'Stocking Rate Equations'!$D$22</f>
        <v>0</v>
      </c>
      <c r="T35" s="123" t="s">
        <v>232</v>
      </c>
      <c r="U35" s="124">
        <v>1</v>
      </c>
      <c r="V35" s="125">
        <v>10</v>
      </c>
      <c r="W35" s="124" t="s">
        <v>211</v>
      </c>
      <c r="X35" s="126">
        <f t="shared" si="1"/>
        <v>10</v>
      </c>
      <c r="Y35" s="124"/>
    </row>
    <row r="36" spans="10:25" ht="14.25" x14ac:dyDescent="0.2">
      <c r="K36" s="99" t="s">
        <v>17</v>
      </c>
      <c r="L36" s="101" t="s">
        <v>71</v>
      </c>
      <c r="M36" s="101">
        <v>1</v>
      </c>
      <c r="N36" s="101">
        <v>0</v>
      </c>
      <c r="O36" s="4">
        <f t="shared" si="3"/>
        <v>0</v>
      </c>
      <c r="P36" s="4">
        <f>O36*'Stocking Rate Equations'!$C$22</f>
        <v>0</v>
      </c>
      <c r="Q36" s="4">
        <f>O36*'Stocking Rate Equations'!$D$22</f>
        <v>0</v>
      </c>
      <c r="T36" s="123" t="s">
        <v>82</v>
      </c>
      <c r="U36" s="124">
        <v>0</v>
      </c>
      <c r="V36" s="125">
        <v>0</v>
      </c>
      <c r="W36" s="124"/>
      <c r="X36" s="126">
        <f t="shared" si="1"/>
        <v>0</v>
      </c>
      <c r="Y36" s="124"/>
    </row>
    <row r="37" spans="10:25" ht="15" x14ac:dyDescent="0.25">
      <c r="K37" s="99" t="s">
        <v>167</v>
      </c>
      <c r="L37" s="101" t="s">
        <v>71</v>
      </c>
      <c r="M37" s="101">
        <v>1</v>
      </c>
      <c r="N37" s="105">
        <v>0</v>
      </c>
      <c r="O37" s="4">
        <f t="shared" si="2"/>
        <v>0</v>
      </c>
      <c r="P37" s="4">
        <f>O37*'Stocking Rate Equations'!$C$22</f>
        <v>0</v>
      </c>
      <c r="Q37" s="4">
        <f>O37*'Stocking Rate Equations'!$D$22</f>
        <v>0</v>
      </c>
      <c r="T37" s="127" t="s">
        <v>238</v>
      </c>
      <c r="U37" s="127"/>
      <c r="V37" s="127"/>
      <c r="W37" s="127"/>
      <c r="X37" s="128">
        <f>SUM(X38:X45)</f>
        <v>815.2</v>
      </c>
      <c r="Y37" s="127"/>
    </row>
    <row r="38" spans="10:25" ht="14.25" x14ac:dyDescent="0.2">
      <c r="K38" s="99" t="s">
        <v>63</v>
      </c>
      <c r="L38" s="101" t="s">
        <v>168</v>
      </c>
      <c r="M38" s="101">
        <v>1</v>
      </c>
      <c r="N38" s="101">
        <v>2</v>
      </c>
      <c r="O38" s="4">
        <f t="shared" si="2"/>
        <v>2</v>
      </c>
      <c r="P38" s="4">
        <f>O38*'Stocking Rate Equations'!$C$22</f>
        <v>600</v>
      </c>
      <c r="Q38" s="4">
        <f>O38*'Stocking Rate Equations'!$D$22</f>
        <v>3.9473684210526314</v>
      </c>
      <c r="T38" s="123" t="s">
        <v>233</v>
      </c>
      <c r="U38" s="124">
        <v>1</v>
      </c>
      <c r="V38" s="125">
        <v>250</v>
      </c>
      <c r="W38" s="124" t="s">
        <v>211</v>
      </c>
      <c r="X38" s="126">
        <f t="shared" ref="X38:X45" si="4">V38*U38</f>
        <v>250</v>
      </c>
      <c r="Y38" s="124"/>
    </row>
    <row r="39" spans="10:25" ht="14.25" x14ac:dyDescent="0.2">
      <c r="K39" s="99" t="s">
        <v>169</v>
      </c>
      <c r="L39" s="101" t="s">
        <v>168</v>
      </c>
      <c r="M39" s="101">
        <v>1</v>
      </c>
      <c r="N39" s="101">
        <v>0</v>
      </c>
      <c r="O39" s="4">
        <f t="shared" si="2"/>
        <v>0</v>
      </c>
      <c r="P39" s="4">
        <f>O39*'Stocking Rate Equations'!$C$22</f>
        <v>0</v>
      </c>
      <c r="Q39" s="4">
        <f>O39*'Stocking Rate Equations'!$D$22</f>
        <v>0</v>
      </c>
      <c r="T39" s="123" t="s">
        <v>234</v>
      </c>
      <c r="U39" s="124">
        <v>1</v>
      </c>
      <c r="V39" s="125">
        <v>40</v>
      </c>
      <c r="W39" s="124" t="s">
        <v>211</v>
      </c>
      <c r="X39" s="126">
        <f t="shared" si="4"/>
        <v>40</v>
      </c>
      <c r="Y39" s="124"/>
    </row>
    <row r="40" spans="10:25" ht="14.25" x14ac:dyDescent="0.2">
      <c r="K40" s="99" t="s">
        <v>160</v>
      </c>
      <c r="L40" s="101" t="s">
        <v>71</v>
      </c>
      <c r="M40" s="101">
        <v>1</v>
      </c>
      <c r="N40" s="101">
        <v>4</v>
      </c>
      <c r="O40" s="4">
        <f t="shared" ref="O40" si="5">M40*N40</f>
        <v>4</v>
      </c>
      <c r="P40" s="4">
        <f>O40*'Stocking Rate Equations'!$C$22</f>
        <v>1200</v>
      </c>
      <c r="Q40" s="4">
        <f>O40*'Stocking Rate Equations'!$D$22</f>
        <v>7.8947368421052628</v>
      </c>
      <c r="T40" s="123" t="s">
        <v>235</v>
      </c>
      <c r="U40" s="124">
        <v>1320</v>
      </c>
      <c r="V40" s="125">
        <v>0.36</v>
      </c>
      <c r="W40" s="124" t="s">
        <v>212</v>
      </c>
      <c r="X40" s="126">
        <f t="shared" si="4"/>
        <v>475.2</v>
      </c>
      <c r="Y40" s="124"/>
    </row>
    <row r="41" spans="10:25" ht="14.25" x14ac:dyDescent="0.2">
      <c r="K41" s="99" t="s">
        <v>170</v>
      </c>
      <c r="L41" s="101" t="s">
        <v>71</v>
      </c>
      <c r="M41" s="101">
        <v>1</v>
      </c>
      <c r="N41" s="101">
        <v>0</v>
      </c>
      <c r="O41" s="4">
        <f t="shared" ref="O41" si="6">M41*N41</f>
        <v>0</v>
      </c>
      <c r="P41" s="4">
        <f>O41*'Stocking Rate Equations'!$C$22</f>
        <v>0</v>
      </c>
      <c r="Q41" s="4">
        <f>O41*'Stocking Rate Equations'!$D$22</f>
        <v>0</v>
      </c>
      <c r="T41" s="123" t="s">
        <v>236</v>
      </c>
      <c r="U41" s="124">
        <v>1</v>
      </c>
      <c r="V41" s="125">
        <v>50</v>
      </c>
      <c r="W41" s="124" t="s">
        <v>151</v>
      </c>
      <c r="X41" s="126">
        <f t="shared" si="4"/>
        <v>50</v>
      </c>
      <c r="Y41" s="124" t="s">
        <v>237</v>
      </c>
    </row>
    <row r="42" spans="10:25" ht="15" thickBot="1" x14ac:dyDescent="0.25">
      <c r="K42" s="99" t="s">
        <v>134</v>
      </c>
      <c r="L42" s="101" t="s">
        <v>71</v>
      </c>
      <c r="M42" s="102">
        <v>2.5000000000000001E-2</v>
      </c>
      <c r="N42" s="104">
        <f>'Buy-Sell Report'!F6</f>
        <v>948.22349999999994</v>
      </c>
      <c r="O42" s="4">
        <f t="shared" ref="O42" si="7">M42*N42</f>
        <v>23.7055875</v>
      </c>
      <c r="P42" s="4">
        <f>O42*'Stocking Rate Equations'!$C$22</f>
        <v>7111.6762500000004</v>
      </c>
      <c r="Q42" s="4">
        <f>O42*'Stocking Rate Equations'!$D$22</f>
        <v>46.787343749999998</v>
      </c>
      <c r="T42" s="123" t="s">
        <v>82</v>
      </c>
      <c r="U42" s="124"/>
      <c r="V42" s="125"/>
      <c r="W42" s="124"/>
      <c r="X42" s="126">
        <f t="shared" si="4"/>
        <v>0</v>
      </c>
      <c r="Y42" s="124"/>
    </row>
    <row r="43" spans="10:25" ht="15" thickBot="1" x14ac:dyDescent="0.25">
      <c r="K43" s="100" t="s">
        <v>165</v>
      </c>
      <c r="L43" s="1"/>
      <c r="O43" s="4">
        <f>SUM(O32:O42)</f>
        <v>32.005587500000004</v>
      </c>
      <c r="P43" s="4">
        <f>SUM(P32:P42)</f>
        <v>9601.6762500000004</v>
      </c>
      <c r="Q43" s="4">
        <f>SUM(Q32:Q42)</f>
        <v>63.168922697368416</v>
      </c>
      <c r="T43" s="123" t="s">
        <v>82</v>
      </c>
      <c r="U43" s="124"/>
      <c r="V43" s="125"/>
      <c r="W43" s="124"/>
      <c r="X43" s="126">
        <f t="shared" si="4"/>
        <v>0</v>
      </c>
      <c r="Y43" s="124"/>
    </row>
    <row r="44" spans="10:25" x14ac:dyDescent="0.2">
      <c r="K44" s="8" t="s">
        <v>51</v>
      </c>
      <c r="L44" s="1" t="s">
        <v>35</v>
      </c>
      <c r="N44" s="61">
        <v>0.06</v>
      </c>
      <c r="T44" s="123" t="s">
        <v>82</v>
      </c>
      <c r="U44" s="124"/>
      <c r="V44" s="125"/>
      <c r="W44" s="124"/>
      <c r="X44" s="126">
        <f t="shared" si="4"/>
        <v>0</v>
      </c>
      <c r="Y44" s="124"/>
    </row>
    <row r="45" spans="10:25" ht="13.5" thickBot="1" x14ac:dyDescent="0.25">
      <c r="K45" s="8" t="s">
        <v>55</v>
      </c>
      <c r="L45" s="103" t="s">
        <v>35</v>
      </c>
      <c r="N45" s="61">
        <v>0.06</v>
      </c>
      <c r="T45" s="118" t="s">
        <v>82</v>
      </c>
      <c r="U45" s="119"/>
      <c r="V45" s="120"/>
      <c r="W45" s="119"/>
      <c r="X45" s="117">
        <f t="shared" si="4"/>
        <v>0</v>
      </c>
      <c r="Y45" s="119"/>
    </row>
    <row r="46" spans="10:25" x14ac:dyDescent="0.2">
      <c r="J46" s="46"/>
      <c r="K46" s="46"/>
      <c r="L46" s="46"/>
      <c r="M46" s="46"/>
      <c r="N46" s="46"/>
      <c r="O46" s="46"/>
    </row>
    <row r="47" spans="10:25" x14ac:dyDescent="0.2">
      <c r="K47" s="109"/>
      <c r="L47" s="109"/>
      <c r="M47" s="109"/>
    </row>
    <row r="48" spans="10:25" x14ac:dyDescent="0.2">
      <c r="K48" s="109"/>
      <c r="L48" s="109"/>
      <c r="M48" s="109"/>
    </row>
    <row r="49" spans="10:13" x14ac:dyDescent="0.2">
      <c r="K49" s="109"/>
      <c r="L49" s="109"/>
      <c r="M49" s="109"/>
    </row>
    <row r="50" spans="10:13" x14ac:dyDescent="0.2">
      <c r="K50" s="109"/>
      <c r="L50" s="109"/>
      <c r="M50" s="109"/>
    </row>
    <row r="51" spans="10:13" x14ac:dyDescent="0.2">
      <c r="K51" s="109"/>
      <c r="L51" s="109"/>
      <c r="M51" s="109"/>
    </row>
    <row r="52" spans="10:13" x14ac:dyDescent="0.2">
      <c r="K52" s="109"/>
      <c r="L52" s="109"/>
      <c r="M52" s="109"/>
    </row>
    <row r="53" spans="10:13" x14ac:dyDescent="0.2">
      <c r="K53" s="109"/>
      <c r="L53" s="109"/>
      <c r="M53" s="109"/>
    </row>
    <row r="54" spans="10:13" x14ac:dyDescent="0.2">
      <c r="K54" s="109"/>
      <c r="L54" s="109"/>
      <c r="M54" s="109"/>
    </row>
    <row r="55" spans="10:13" x14ac:dyDescent="0.2">
      <c r="K55" s="109"/>
      <c r="L55" s="109"/>
      <c r="M55" s="109"/>
    </row>
    <row r="56" spans="10:13" x14ac:dyDescent="0.2">
      <c r="K56" s="109"/>
      <c r="L56" s="109"/>
      <c r="M56" s="109"/>
    </row>
    <row r="57" spans="10:13" x14ac:dyDescent="0.2">
      <c r="K57" s="109"/>
      <c r="L57" s="109"/>
      <c r="M57" s="109"/>
    </row>
    <row r="58" spans="10:13" x14ac:dyDescent="0.2">
      <c r="K58" s="109"/>
      <c r="L58" s="109"/>
      <c r="M58" s="109"/>
    </row>
    <row r="59" spans="10:13" x14ac:dyDescent="0.2">
      <c r="K59" s="109"/>
      <c r="L59" s="109"/>
      <c r="M59" s="109"/>
    </row>
    <row r="60" spans="10:13" x14ac:dyDescent="0.2">
      <c r="K60" s="109"/>
      <c r="L60" s="109"/>
      <c r="M60" s="109"/>
    </row>
    <row r="61" spans="10:13" x14ac:dyDescent="0.2">
      <c r="J61" s="36"/>
      <c r="K61" s="109"/>
      <c r="L61" s="109"/>
      <c r="M61" s="109"/>
    </row>
    <row r="62" spans="10:13" x14ac:dyDescent="0.2">
      <c r="K62" s="109"/>
      <c r="L62" s="109"/>
      <c r="M62" s="109"/>
    </row>
    <row r="63" spans="10:13" x14ac:dyDescent="0.2">
      <c r="K63" s="109"/>
      <c r="L63" s="109"/>
      <c r="M63" s="109"/>
    </row>
    <row r="64" spans="10:13" x14ac:dyDescent="0.2">
      <c r="K64" s="109"/>
      <c r="L64" s="109"/>
      <c r="M64" s="109"/>
    </row>
    <row r="65" spans="1:13" x14ac:dyDescent="0.2">
      <c r="K65" s="109"/>
      <c r="L65" s="109"/>
      <c r="M65" s="109"/>
    </row>
    <row r="66" spans="1:13" x14ac:dyDescent="0.2">
      <c r="K66" s="109"/>
      <c r="L66" s="109"/>
      <c r="M66" s="109"/>
    </row>
    <row r="67" spans="1:13" x14ac:dyDescent="0.2">
      <c r="K67" s="109"/>
      <c r="L67" s="109"/>
      <c r="M67" s="109"/>
    </row>
    <row r="68" spans="1:13" x14ac:dyDescent="0.2">
      <c r="K68" s="109"/>
      <c r="L68" s="109"/>
      <c r="M68" s="109"/>
    </row>
    <row r="79" spans="1:13" x14ac:dyDescent="0.2">
      <c r="A79" s="109"/>
      <c r="B79" s="109"/>
      <c r="C79" s="110"/>
      <c r="D79" s="109"/>
      <c r="E79" s="109"/>
      <c r="F79" s="109"/>
      <c r="G79" s="109"/>
      <c r="H79" s="109"/>
      <c r="I79" s="109"/>
      <c r="J79" s="111"/>
    </row>
  </sheetData>
  <phoneticPr fontId="12" type="noConversion"/>
  <pageMargins left="0.75" right="0.75" top="1" bottom="1" header="0.5" footer="0.5"/>
  <pageSetup scale="86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P44"/>
  <sheetViews>
    <sheetView zoomScale="90" zoomScaleNormal="90" workbookViewId="0">
      <selection activeCell="C5" sqref="C5"/>
    </sheetView>
  </sheetViews>
  <sheetFormatPr defaultRowHeight="12.75" x14ac:dyDescent="0.2"/>
  <cols>
    <col min="1" max="1" width="3.5703125" customWidth="1"/>
    <col min="2" max="2" width="30.7109375" customWidth="1"/>
    <col min="3" max="3" width="10.28515625" bestFit="1" customWidth="1"/>
    <col min="6" max="6" width="18.7109375" customWidth="1"/>
    <col min="7" max="7" width="9.28515625" bestFit="1" customWidth="1"/>
    <col min="10" max="10" width="9.42578125" customWidth="1"/>
    <col min="11" max="17" width="9.5703125" customWidth="1"/>
    <col min="18" max="18" width="8.85546875" customWidth="1"/>
  </cols>
  <sheetData>
    <row r="1" spans="2:10" ht="25.5" customHeight="1" x14ac:dyDescent="0.2">
      <c r="B1" s="11" t="s">
        <v>53</v>
      </c>
      <c r="C1" s="10"/>
      <c r="D1" s="10"/>
      <c r="E1" s="10"/>
      <c r="F1" s="16" t="s">
        <v>54</v>
      </c>
      <c r="G1" s="72"/>
      <c r="H1" s="72"/>
    </row>
    <row r="3" spans="2:10" ht="18" x14ac:dyDescent="0.25">
      <c r="B3" s="27" t="s">
        <v>20</v>
      </c>
    </row>
    <row r="5" spans="2:10" x14ac:dyDescent="0.2">
      <c r="B5" s="8" t="s">
        <v>31</v>
      </c>
      <c r="C5" s="20">
        <v>450</v>
      </c>
      <c r="D5" t="s">
        <v>1</v>
      </c>
    </row>
    <row r="6" spans="2:10" x14ac:dyDescent="0.2">
      <c r="B6" s="8" t="s">
        <v>27</v>
      </c>
      <c r="C6" s="20">
        <v>150</v>
      </c>
      <c r="D6" t="s">
        <v>28</v>
      </c>
      <c r="G6" s="95"/>
      <c r="H6" s="95"/>
      <c r="I6" s="95"/>
      <c r="J6" s="95"/>
    </row>
    <row r="7" spans="2:10" x14ac:dyDescent="0.2">
      <c r="B7" s="8" t="s">
        <v>26</v>
      </c>
      <c r="C7" s="20">
        <v>1.9</v>
      </c>
      <c r="D7" t="s">
        <v>29</v>
      </c>
    </row>
    <row r="8" spans="2:10" ht="15.75" x14ac:dyDescent="0.25">
      <c r="B8" s="75" t="s">
        <v>32</v>
      </c>
      <c r="C8" s="73">
        <f>C5+(C6*C7)</f>
        <v>735</v>
      </c>
      <c r="D8" s="73" t="s">
        <v>1</v>
      </c>
      <c r="G8" s="96" t="s">
        <v>186</v>
      </c>
    </row>
    <row r="9" spans="2:10" ht="13.5" x14ac:dyDescent="0.2">
      <c r="B9" s="75" t="s">
        <v>19</v>
      </c>
      <c r="C9" s="73">
        <f>(C5+C8)/2</f>
        <v>592.5</v>
      </c>
      <c r="D9" s="73" t="s">
        <v>1</v>
      </c>
      <c r="F9" s="8" t="s">
        <v>30</v>
      </c>
      <c r="G9" s="20">
        <v>152</v>
      </c>
      <c r="H9" t="s">
        <v>24</v>
      </c>
    </row>
    <row r="10" spans="2:10" x14ac:dyDescent="0.2">
      <c r="F10" s="8" t="s">
        <v>133</v>
      </c>
      <c r="G10" s="20">
        <v>160</v>
      </c>
    </row>
    <row r="12" spans="2:10" ht="15" x14ac:dyDescent="0.25">
      <c r="B12" s="34" t="s">
        <v>70</v>
      </c>
      <c r="G12" s="71" t="s">
        <v>144</v>
      </c>
    </row>
    <row r="13" spans="2:10" x14ac:dyDescent="0.2">
      <c r="G13" s="72">
        <v>4.5</v>
      </c>
      <c r="H13" t="s">
        <v>184</v>
      </c>
    </row>
    <row r="14" spans="2:10" x14ac:dyDescent="0.2">
      <c r="B14" s="8" t="s">
        <v>33</v>
      </c>
      <c r="C14" s="114">
        <f>G14</f>
        <v>9000</v>
      </c>
      <c r="D14" t="s">
        <v>34</v>
      </c>
      <c r="G14">
        <f>2000*G13</f>
        <v>9000</v>
      </c>
      <c r="H14" t="s">
        <v>185</v>
      </c>
    </row>
    <row r="15" spans="2:10" x14ac:dyDescent="0.2">
      <c r="B15" s="8" t="s">
        <v>37</v>
      </c>
      <c r="C15" s="18">
        <v>0.65</v>
      </c>
      <c r="D15" t="s">
        <v>35</v>
      </c>
      <c r="G15">
        <f>G14*0.15</f>
        <v>1350</v>
      </c>
      <c r="H15" t="s">
        <v>145</v>
      </c>
    </row>
    <row r="16" spans="2:10" x14ac:dyDescent="0.2">
      <c r="B16" s="8" t="s">
        <v>38</v>
      </c>
      <c r="C16" s="18">
        <v>0.03</v>
      </c>
      <c r="D16" t="s">
        <v>36</v>
      </c>
    </row>
    <row r="17" spans="2:8" ht="13.5" x14ac:dyDescent="0.2">
      <c r="B17" s="75" t="s">
        <v>25</v>
      </c>
      <c r="C17" s="74">
        <f>(C14*C15)/(C16*C6)</f>
        <v>1300</v>
      </c>
      <c r="D17" s="73" t="s">
        <v>18</v>
      </c>
    </row>
    <row r="20" spans="2:8" x14ac:dyDescent="0.2">
      <c r="B20" s="8" t="s">
        <v>67</v>
      </c>
      <c r="C20" t="s">
        <v>68</v>
      </c>
      <c r="D20" t="s">
        <v>21</v>
      </c>
    </row>
    <row r="21" spans="2:8" x14ac:dyDescent="0.2">
      <c r="B21" s="8" t="s">
        <v>71</v>
      </c>
      <c r="C21" s="6">
        <f>D21*G9</f>
        <v>319.2</v>
      </c>
      <c r="D21" s="9">
        <f>ROUNDDOWN(C17/C9,1)</f>
        <v>2.1</v>
      </c>
      <c r="E21" s="9"/>
    </row>
    <row r="22" spans="2:8" x14ac:dyDescent="0.2">
      <c r="B22" s="8" t="s">
        <v>66</v>
      </c>
      <c r="C22" s="33">
        <v>300</v>
      </c>
      <c r="D22" s="7">
        <f>C22/G9</f>
        <v>1.9736842105263157</v>
      </c>
      <c r="E22" s="7"/>
    </row>
    <row r="24" spans="2:8" x14ac:dyDescent="0.2">
      <c r="D24" s="6"/>
      <c r="E24" s="6"/>
    </row>
    <row r="25" spans="2:8" ht="15" x14ac:dyDescent="0.25">
      <c r="B25" s="34" t="s">
        <v>69</v>
      </c>
      <c r="G25" s="71" t="s">
        <v>146</v>
      </c>
    </row>
    <row r="26" spans="2:8" x14ac:dyDescent="0.2">
      <c r="G26" s="71" t="s">
        <v>147</v>
      </c>
    </row>
    <row r="27" spans="2:8" x14ac:dyDescent="0.2">
      <c r="B27" s="8" t="s">
        <v>143</v>
      </c>
      <c r="C27" s="50">
        <f>G29</f>
        <v>3600</v>
      </c>
      <c r="D27" t="s">
        <v>39</v>
      </c>
      <c r="G27" s="72">
        <v>300</v>
      </c>
      <c r="H27" t="s">
        <v>248</v>
      </c>
    </row>
    <row r="28" spans="2:8" x14ac:dyDescent="0.2">
      <c r="B28" s="8" t="s">
        <v>42</v>
      </c>
      <c r="C28" s="18">
        <v>0.5</v>
      </c>
      <c r="D28" t="s">
        <v>35</v>
      </c>
      <c r="G28" s="72">
        <v>12</v>
      </c>
      <c r="H28" t="s">
        <v>103</v>
      </c>
    </row>
    <row r="29" spans="2:8" x14ac:dyDescent="0.2">
      <c r="B29" s="8" t="s">
        <v>44</v>
      </c>
      <c r="C29" s="18">
        <v>0.03</v>
      </c>
      <c r="D29" t="s">
        <v>40</v>
      </c>
      <c r="G29">
        <f>G27*G28</f>
        <v>3600</v>
      </c>
      <c r="H29" t="s">
        <v>142</v>
      </c>
    </row>
    <row r="30" spans="2:8" x14ac:dyDescent="0.2">
      <c r="B30" s="8" t="s">
        <v>45</v>
      </c>
      <c r="C30" s="20">
        <v>1</v>
      </c>
      <c r="D30" t="s">
        <v>41</v>
      </c>
    </row>
    <row r="32" spans="2:8" ht="13.5" x14ac:dyDescent="0.2">
      <c r="B32" s="73" t="s">
        <v>43</v>
      </c>
      <c r="C32" s="74">
        <f>(C27*C28)/(C29*C30)</f>
        <v>60000</v>
      </c>
      <c r="D32" s="73" t="s">
        <v>18</v>
      </c>
      <c r="G32" s="7"/>
      <c r="H32" s="7"/>
    </row>
    <row r="33" spans="2:16" ht="13.5" x14ac:dyDescent="0.2">
      <c r="B33" s="73"/>
      <c r="C33" s="73"/>
      <c r="D33" s="73"/>
      <c r="H33" s="7"/>
    </row>
    <row r="34" spans="2:16" ht="13.5" x14ac:dyDescent="0.2">
      <c r="B34" s="73"/>
      <c r="C34" s="73" t="s">
        <v>22</v>
      </c>
      <c r="D34" s="73" t="s">
        <v>23</v>
      </c>
    </row>
    <row r="35" spans="2:16" ht="13.5" x14ac:dyDescent="0.2">
      <c r="B35" s="73"/>
      <c r="C35" s="97">
        <f>ROUNDDOWN(C32/C9,1)</f>
        <v>101.2</v>
      </c>
      <c r="D35" s="76">
        <f>C22/C35</f>
        <v>2.9644268774703555</v>
      </c>
      <c r="E35" s="9"/>
    </row>
    <row r="36" spans="2:16" ht="13.5" x14ac:dyDescent="0.2">
      <c r="B36" s="73"/>
      <c r="C36" s="73"/>
      <c r="D36" s="73" t="s">
        <v>122</v>
      </c>
    </row>
    <row r="37" spans="2:16" ht="13.5" x14ac:dyDescent="0.2">
      <c r="B37" s="73"/>
      <c r="C37" s="73"/>
      <c r="D37" s="98">
        <f>G9/D35</f>
        <v>51.274666666666668</v>
      </c>
      <c r="E37" s="7"/>
    </row>
    <row r="38" spans="2:16" x14ac:dyDescent="0.2">
      <c r="D38" s="6"/>
      <c r="E38" s="6"/>
    </row>
    <row r="43" spans="2:16" x14ac:dyDescent="0.2">
      <c r="G43" s="1"/>
      <c r="P43" s="1"/>
    </row>
    <row r="44" spans="2:16" x14ac:dyDescent="0.2">
      <c r="P44" s="1"/>
    </row>
  </sheetData>
  <phoneticPr fontId="12" type="noConversion"/>
  <printOptions horizontalCentered="1"/>
  <pageMargins left="0.75" right="0.75" top="1" bottom="1" header="0.5" footer="0.5"/>
  <pageSetup scale="80" orientation="landscape" horizontalDpi="300" verticalDpi="3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W66"/>
  <sheetViews>
    <sheetView tabSelected="1" zoomScaleNormal="100" workbookViewId="0">
      <selection activeCell="E4" sqref="E4"/>
    </sheetView>
  </sheetViews>
  <sheetFormatPr defaultRowHeight="12.75" x14ac:dyDescent="0.2"/>
  <cols>
    <col min="1" max="1" width="3.85546875" customWidth="1"/>
    <col min="2" max="3" width="9" bestFit="1" customWidth="1"/>
    <col min="4" max="4" width="9.28515625" bestFit="1" customWidth="1"/>
    <col min="5" max="5" width="11.42578125" bestFit="1" customWidth="1"/>
    <col min="6" max="6" width="13" bestFit="1" customWidth="1"/>
    <col min="7" max="7" width="11.7109375" customWidth="1"/>
    <col min="8" max="8" width="9" bestFit="1" customWidth="1"/>
    <col min="10" max="10" width="12.140625" customWidth="1"/>
    <col min="12" max="12" width="9" bestFit="1" customWidth="1"/>
    <col min="14" max="14" width="9" bestFit="1" customWidth="1"/>
    <col min="15" max="15" width="10.5703125" bestFit="1" customWidth="1"/>
    <col min="16" max="16" width="12" bestFit="1" customWidth="1"/>
    <col min="18" max="18" width="11.42578125" bestFit="1" customWidth="1"/>
    <col min="20" max="20" width="10.140625" bestFit="1" customWidth="1"/>
    <col min="24" max="24" width="11.28515625" bestFit="1" customWidth="1"/>
  </cols>
  <sheetData>
    <row r="1" spans="1:18" ht="23.25" x14ac:dyDescent="0.35">
      <c r="C1" s="5" t="s">
        <v>196</v>
      </c>
      <c r="H1" s="25"/>
      <c r="K1" s="41"/>
      <c r="L1" s="42"/>
      <c r="M1" s="42"/>
      <c r="N1" s="42"/>
      <c r="O1" s="42"/>
      <c r="P1" s="42"/>
      <c r="Q1" s="42"/>
      <c r="R1" s="42"/>
    </row>
    <row r="2" spans="1:18" x14ac:dyDescent="0.2">
      <c r="C2" s="15" t="s">
        <v>52</v>
      </c>
      <c r="D2" s="17"/>
      <c r="E2" s="17"/>
      <c r="F2" s="17"/>
    </row>
    <row r="3" spans="1:18" x14ac:dyDescent="0.2">
      <c r="A3" s="56">
        <v>1</v>
      </c>
      <c r="B3" s="56" t="s">
        <v>0</v>
      </c>
      <c r="C3" s="56"/>
      <c r="D3" s="56"/>
      <c r="E3" s="56"/>
      <c r="F3" s="56" t="s">
        <v>62</v>
      </c>
      <c r="G3" s="56" t="s">
        <v>64</v>
      </c>
      <c r="H3" t="s">
        <v>47</v>
      </c>
    </row>
    <row r="4" spans="1:18" x14ac:dyDescent="0.2">
      <c r="B4">
        <f>'Stocking Rate Equations'!C8</f>
        <v>735</v>
      </c>
      <c r="C4" t="s">
        <v>46</v>
      </c>
      <c r="E4" s="18">
        <v>0.03</v>
      </c>
      <c r="F4" t="s">
        <v>172</v>
      </c>
      <c r="H4" s="18">
        <v>5.0000000000000001E-3</v>
      </c>
      <c r="I4" t="s">
        <v>35</v>
      </c>
    </row>
    <row r="5" spans="1:18" x14ac:dyDescent="0.2">
      <c r="B5" t="s">
        <v>48</v>
      </c>
    </row>
    <row r="6" spans="1:18" x14ac:dyDescent="0.2">
      <c r="B6" s="2">
        <f>B4*(1-E4)</f>
        <v>712.94999999999993</v>
      </c>
      <c r="C6" t="s">
        <v>1</v>
      </c>
      <c r="D6" s="19">
        <v>133</v>
      </c>
      <c r="E6" t="s">
        <v>2</v>
      </c>
      <c r="F6" s="4">
        <f>D6/100*B6</f>
        <v>948.22349999999994</v>
      </c>
      <c r="G6" s="35">
        <f>F6*'Stocking Rate Equations'!$D$22</f>
        <v>1871.4937499999999</v>
      </c>
      <c r="H6" s="22">
        <f>F6*H4</f>
        <v>4.7411174999999997</v>
      </c>
    </row>
    <row r="7" spans="1:18" x14ac:dyDescent="0.2">
      <c r="G7" s="36"/>
    </row>
    <row r="8" spans="1:18" x14ac:dyDescent="0.2">
      <c r="A8" s="56">
        <v>2</v>
      </c>
      <c r="B8" s="56" t="s">
        <v>3</v>
      </c>
      <c r="C8" s="56"/>
      <c r="D8" s="56"/>
      <c r="E8" s="56" t="s">
        <v>260</v>
      </c>
      <c r="F8" s="56" t="s">
        <v>62</v>
      </c>
      <c r="G8" s="56" t="s">
        <v>64</v>
      </c>
    </row>
    <row r="9" spans="1:18" x14ac:dyDescent="0.2">
      <c r="G9" s="36"/>
    </row>
    <row r="10" spans="1:18" x14ac:dyDescent="0.2">
      <c r="B10" t="s">
        <v>4</v>
      </c>
      <c r="C10">
        <f>'Stocking Rate Equations'!C5</f>
        <v>450</v>
      </c>
      <c r="D10" t="s">
        <v>6</v>
      </c>
      <c r="E10" s="19">
        <v>147.37</v>
      </c>
      <c r="F10" s="4">
        <f>C10*E10/100</f>
        <v>663.16499999999996</v>
      </c>
      <c r="G10" s="35">
        <f>F10*'Stocking Rate Equations'!$D$22</f>
        <v>1308.8782894736842</v>
      </c>
    </row>
    <row r="11" spans="1:18" x14ac:dyDescent="0.2">
      <c r="G11" s="36"/>
    </row>
    <row r="12" spans="1:18" x14ac:dyDescent="0.2">
      <c r="B12" t="s">
        <v>5</v>
      </c>
      <c r="C12">
        <f>C10</f>
        <v>450</v>
      </c>
      <c r="D12" t="s">
        <v>6</v>
      </c>
      <c r="E12" s="28">
        <f>D6</f>
        <v>133</v>
      </c>
      <c r="F12" s="4">
        <f>C12*E12/100</f>
        <v>598.5</v>
      </c>
      <c r="G12" s="35">
        <f>F12*'Stocking Rate Equations'!$D$22</f>
        <v>1181.25</v>
      </c>
    </row>
    <row r="13" spans="1:18" x14ac:dyDescent="0.2">
      <c r="G13" s="36"/>
    </row>
    <row r="14" spans="1:18" x14ac:dyDescent="0.2">
      <c r="B14" t="s">
        <v>249</v>
      </c>
      <c r="E14" s="57">
        <f>(E12-E10)/100</f>
        <v>-0.14370000000000005</v>
      </c>
      <c r="F14" s="57">
        <f>F12-F10</f>
        <v>-64.664999999999964</v>
      </c>
      <c r="G14" s="57">
        <f>G12-G10</f>
        <v>-127.62828947368416</v>
      </c>
    </row>
    <row r="15" spans="1:18" x14ac:dyDescent="0.2">
      <c r="F15" s="47"/>
      <c r="G15" s="62"/>
    </row>
    <row r="16" spans="1:18" x14ac:dyDescent="0.2">
      <c r="A16" s="56">
        <v>3</v>
      </c>
      <c r="B16" s="56" t="s">
        <v>7</v>
      </c>
      <c r="C16" s="56"/>
      <c r="D16" s="56"/>
      <c r="E16" s="56" t="s">
        <v>127</v>
      </c>
      <c r="F16" s="56" t="s">
        <v>62</v>
      </c>
      <c r="G16" s="56" t="s">
        <v>64</v>
      </c>
    </row>
    <row r="17" spans="1:23" x14ac:dyDescent="0.2">
      <c r="B17" s="31" t="s">
        <v>65</v>
      </c>
      <c r="C17" s="32">
        <f>'Stocking Rate Equations'!C7</f>
        <v>1.9</v>
      </c>
      <c r="D17" t="s">
        <v>261</v>
      </c>
      <c r="F17" s="139">
        <f>B6-C10</f>
        <v>262.94999999999993</v>
      </c>
      <c r="G17" s="140">
        <f>F17*'Stocking Rate Equations'!$D$22</f>
        <v>518.98026315789457</v>
      </c>
    </row>
    <row r="18" spans="1:23" x14ac:dyDescent="0.2">
      <c r="B18" t="s">
        <v>262</v>
      </c>
      <c r="E18" s="4">
        <f>E12</f>
        <v>133</v>
      </c>
      <c r="F18" s="4">
        <f>F6</f>
        <v>948.22349999999994</v>
      </c>
      <c r="G18" s="4">
        <f>G6</f>
        <v>1871.4937499999999</v>
      </c>
    </row>
    <row r="19" spans="1:23" x14ac:dyDescent="0.2">
      <c r="B19" t="s">
        <v>263</v>
      </c>
      <c r="E19" s="136"/>
      <c r="F19" s="13">
        <f>F10</f>
        <v>663.16499999999996</v>
      </c>
      <c r="G19" s="13">
        <f>G10</f>
        <v>1308.8782894736842</v>
      </c>
      <c r="H19" s="57"/>
      <c r="I19" s="57"/>
    </row>
    <row r="20" spans="1:23" x14ac:dyDescent="0.2">
      <c r="B20" t="s">
        <v>264</v>
      </c>
      <c r="E20" s="136"/>
      <c r="F20" s="13">
        <f>F18-F19</f>
        <v>285.05849999999998</v>
      </c>
      <c r="G20" s="13">
        <f>G18-G19</f>
        <v>562.6154605263157</v>
      </c>
    </row>
    <row r="21" spans="1:23" x14ac:dyDescent="0.2">
      <c r="B21" t="s">
        <v>250</v>
      </c>
      <c r="E21" s="13">
        <f>F20/F17</f>
        <v>1.0840787221905308</v>
      </c>
      <c r="F21" s="13">
        <f>F17*E21</f>
        <v>285.05849999999998</v>
      </c>
      <c r="G21" s="135">
        <f>F21*'Stocking Rate Equations'!$D$22</f>
        <v>562.6154605263157</v>
      </c>
    </row>
    <row r="22" spans="1:23" x14ac:dyDescent="0.2">
      <c r="A22" s="56">
        <v>4</v>
      </c>
      <c r="B22" s="56" t="s">
        <v>49</v>
      </c>
      <c r="C22" s="56"/>
      <c r="D22" s="56"/>
      <c r="E22" s="56"/>
      <c r="F22" s="56" t="s">
        <v>62</v>
      </c>
      <c r="G22" s="56" t="s">
        <v>64</v>
      </c>
    </row>
    <row r="23" spans="1:23" ht="14.25" x14ac:dyDescent="0.2">
      <c r="B23" s="108" t="s">
        <v>15</v>
      </c>
      <c r="C23" s="108"/>
      <c r="D23" s="108" t="s">
        <v>171</v>
      </c>
      <c r="E23" s="108"/>
      <c r="F23" s="108"/>
      <c r="G23" s="36"/>
      <c r="I23" s="55"/>
    </row>
    <row r="24" spans="1:23" x14ac:dyDescent="0.2">
      <c r="C24" s="3" t="s">
        <v>9</v>
      </c>
      <c r="F24" s="44">
        <f>'Budget worksheets'!O32</f>
        <v>1.25</v>
      </c>
      <c r="G24" s="35">
        <f>F24*'Stocking Rate Equations'!$D$22</f>
        <v>2.4671052631578947</v>
      </c>
    </row>
    <row r="25" spans="1:23" x14ac:dyDescent="0.2">
      <c r="C25" t="s">
        <v>11</v>
      </c>
      <c r="F25" s="44">
        <f>'Budget worksheets'!O33</f>
        <v>0</v>
      </c>
      <c r="G25" s="35">
        <f>F25*'Stocking Rate Equations'!$D$22</f>
        <v>0</v>
      </c>
    </row>
    <row r="26" spans="1:23" x14ac:dyDescent="0.2">
      <c r="C26" s="12" t="s">
        <v>14</v>
      </c>
      <c r="F26" s="44">
        <f>'Budget worksheets'!O34</f>
        <v>1.05</v>
      </c>
      <c r="G26" s="35">
        <f>F26*'Stocking Rate Equations'!$D$22</f>
        <v>2.0723684210526314</v>
      </c>
    </row>
    <row r="27" spans="1:23" x14ac:dyDescent="0.2">
      <c r="C27" t="s">
        <v>10</v>
      </c>
      <c r="F27" s="44">
        <f>'Budget worksheets'!O35</f>
        <v>0</v>
      </c>
      <c r="G27" s="35">
        <f>F27*'Stocking Rate Equations'!$D$22</f>
        <v>0</v>
      </c>
      <c r="Q27" s="1"/>
      <c r="W27" s="1"/>
    </row>
    <row r="28" spans="1:23" x14ac:dyDescent="0.2">
      <c r="C28" t="s">
        <v>17</v>
      </c>
      <c r="F28" s="44">
        <f>'Budget worksheets'!O36</f>
        <v>0</v>
      </c>
      <c r="G28" s="35">
        <f>F28*'Stocking Rate Equations'!$D$22</f>
        <v>0</v>
      </c>
      <c r="Q28" s="1"/>
    </row>
    <row r="29" spans="1:23" x14ac:dyDescent="0.2">
      <c r="C29" t="s">
        <v>167</v>
      </c>
      <c r="F29" s="44">
        <f>'Budget worksheets'!O37</f>
        <v>0</v>
      </c>
      <c r="G29" s="35">
        <f>F29*'Stocking Rate Equations'!$D$22</f>
        <v>0</v>
      </c>
    </row>
    <row r="30" spans="1:23" x14ac:dyDescent="0.2">
      <c r="C30" t="s">
        <v>63</v>
      </c>
      <c r="F30" s="44">
        <f>'Budget worksheets'!O38</f>
        <v>2</v>
      </c>
      <c r="G30" s="35">
        <f>F30*'Stocking Rate Equations'!$D$22</f>
        <v>3.9473684210526314</v>
      </c>
      <c r="Q30" s="1"/>
    </row>
    <row r="31" spans="1:23" x14ac:dyDescent="0.2">
      <c r="C31" t="s">
        <v>169</v>
      </c>
      <c r="E31" s="106"/>
      <c r="F31" s="44">
        <f>'Budget worksheets'!O39</f>
        <v>0</v>
      </c>
    </row>
    <row r="32" spans="1:23" x14ac:dyDescent="0.2">
      <c r="C32" t="s">
        <v>160</v>
      </c>
      <c r="F32" s="44">
        <f>'Budget worksheets'!O40</f>
        <v>4</v>
      </c>
      <c r="G32" s="35">
        <f>F32*'Stocking Rate Equations'!$D$22</f>
        <v>7.8947368421052628</v>
      </c>
    </row>
    <row r="33" spans="3:20" x14ac:dyDescent="0.2">
      <c r="C33" s="3" t="s">
        <v>170</v>
      </c>
      <c r="F33" s="44">
        <f>'Budget worksheets'!O41</f>
        <v>0</v>
      </c>
      <c r="G33" s="35">
        <f>F33*'Stocking Rate Equations'!$D$22</f>
        <v>0</v>
      </c>
    </row>
    <row r="34" spans="3:20" x14ac:dyDescent="0.2">
      <c r="C34" t="s">
        <v>134</v>
      </c>
      <c r="E34" s="107">
        <f>'Budget worksheets'!M42</f>
        <v>2.5000000000000001E-2</v>
      </c>
      <c r="F34" s="44">
        <f>E34*F6</f>
        <v>23.7055875</v>
      </c>
      <c r="G34" s="35">
        <f>F34*'Stocking Rate Equations'!$D$22</f>
        <v>46.787343749999998</v>
      </c>
    </row>
    <row r="35" spans="3:20" x14ac:dyDescent="0.2">
      <c r="C35" t="s">
        <v>12</v>
      </c>
      <c r="F35" s="21">
        <f>H6</f>
        <v>4.7411174999999997</v>
      </c>
      <c r="G35" s="35">
        <f>F35*'Stocking Rate Equations'!$D$22</f>
        <v>9.3574687499999989</v>
      </c>
    </row>
    <row r="36" spans="3:20" x14ac:dyDescent="0.2">
      <c r="C36" s="23" t="s">
        <v>50</v>
      </c>
      <c r="D36" s="23"/>
      <c r="E36" s="23"/>
      <c r="F36" s="24">
        <f>SUM(F24:F35)</f>
        <v>36.746705000000006</v>
      </c>
      <c r="G36" s="37">
        <f>SUM(G24:G35)</f>
        <v>72.526391447368411</v>
      </c>
    </row>
    <row r="37" spans="3:20" ht="14.25" x14ac:dyDescent="0.2">
      <c r="C37" s="8" t="s">
        <v>51</v>
      </c>
      <c r="D37" s="106">
        <f>'Budget worksheets'!N44</f>
        <v>0.06</v>
      </c>
      <c r="E37" s="29">
        <f>F36</f>
        <v>36.746705000000006</v>
      </c>
      <c r="F37" s="7">
        <f>D37*E37*('Stocking Rate Equations'!C6/365)</f>
        <v>0.9060831369863015</v>
      </c>
      <c r="G37" s="35">
        <f>F37*'Stocking Rate Equations'!$D$22</f>
        <v>1.7883219808940161</v>
      </c>
      <c r="R37" s="40"/>
    </row>
    <row r="38" spans="3:20" x14ac:dyDescent="0.2">
      <c r="C38" s="8" t="s">
        <v>55</v>
      </c>
      <c r="D38" s="106">
        <f>'Budget worksheets'!N45</f>
        <v>0.06</v>
      </c>
      <c r="E38" s="13">
        <f>F10</f>
        <v>663.16499999999996</v>
      </c>
      <c r="F38" s="7">
        <f>D38*E38*('Stocking Rate Equations'!C6/365)</f>
        <v>16.352013698630135</v>
      </c>
      <c r="G38" s="35">
        <f>F38*'Stocking Rate Equations'!$D$22</f>
        <v>32.273711247296319</v>
      </c>
    </row>
    <row r="39" spans="3:20" x14ac:dyDescent="0.2">
      <c r="D39" t="s">
        <v>265</v>
      </c>
      <c r="F39" s="13">
        <f>G39/'Stocking Rate Equations'!$D$22</f>
        <v>71.722900850842535</v>
      </c>
      <c r="G39" s="43">
        <f>'Budget worksheets'!H14</f>
        <v>141.55835694245238</v>
      </c>
    </row>
    <row r="40" spans="3:20" x14ac:dyDescent="0.2">
      <c r="C40" s="71" t="s">
        <v>93</v>
      </c>
      <c r="F40" s="13"/>
      <c r="G40" s="35"/>
    </row>
    <row r="41" spans="3:20" x14ac:dyDescent="0.2">
      <c r="D41" t="s">
        <v>56</v>
      </c>
      <c r="F41" s="13">
        <f>SUM(F36:F39)</f>
        <v>125.72770268645898</v>
      </c>
      <c r="G41" s="35">
        <f>F41*'Stocking Rate Equations'!$D$22</f>
        <v>248.14678161801115</v>
      </c>
    </row>
    <row r="42" spans="3:20" x14ac:dyDescent="0.2">
      <c r="D42" t="s">
        <v>251</v>
      </c>
      <c r="F42" s="13">
        <f>(F41/F17)</f>
        <v>0.47814300318105729</v>
      </c>
      <c r="G42" s="35"/>
    </row>
    <row r="43" spans="3:20" ht="14.25" x14ac:dyDescent="0.2">
      <c r="C43" s="71" t="s">
        <v>94</v>
      </c>
      <c r="O43" s="39"/>
      <c r="P43" s="39"/>
    </row>
    <row r="44" spans="3:20" x14ac:dyDescent="0.2">
      <c r="D44" t="s">
        <v>266</v>
      </c>
      <c r="F44" s="13">
        <f>G44/'Stocking Rate Equations'!$D$22</f>
        <v>27.628676669109922</v>
      </c>
      <c r="G44" s="43">
        <f>'Budget worksheets'!H25</f>
        <v>54.530282899559054</v>
      </c>
    </row>
    <row r="45" spans="3:20" ht="14.25" x14ac:dyDescent="0.2">
      <c r="C45" s="26"/>
      <c r="D45" t="s">
        <v>259</v>
      </c>
      <c r="F45" s="13">
        <f>(F44/F17)</f>
        <v>0.1050719782054</v>
      </c>
      <c r="G45" s="35"/>
      <c r="O45" s="39"/>
      <c r="P45" s="39"/>
    </row>
    <row r="46" spans="3:20" ht="14.25" x14ac:dyDescent="0.2">
      <c r="C46" s="71" t="s">
        <v>252</v>
      </c>
      <c r="F46" s="13">
        <f>F41+F44</f>
        <v>153.35637935556889</v>
      </c>
      <c r="G46" s="35">
        <f>F46*'Stocking Rate Equations'!$D$22</f>
        <v>302.67706451757016</v>
      </c>
      <c r="O46" s="39"/>
      <c r="P46" s="39"/>
    </row>
    <row r="47" spans="3:20" ht="14.25" x14ac:dyDescent="0.2">
      <c r="D47" t="s">
        <v>253</v>
      </c>
      <c r="F47" s="13">
        <f>F46/F17</f>
        <v>0.58321498138645722</v>
      </c>
      <c r="G47" s="35"/>
      <c r="O47" s="39"/>
      <c r="P47" s="39"/>
    </row>
    <row r="48" spans="3:20" x14ac:dyDescent="0.2">
      <c r="F48" s="56" t="s">
        <v>62</v>
      </c>
      <c r="G48" s="56" t="s">
        <v>64</v>
      </c>
      <c r="H48" s="64" t="s">
        <v>136</v>
      </c>
      <c r="T48" s="54"/>
    </row>
    <row r="49" spans="1:20" x14ac:dyDescent="0.2">
      <c r="D49" t="s">
        <v>8</v>
      </c>
      <c r="F49" s="57">
        <f>F46</f>
        <v>153.35637935556889</v>
      </c>
      <c r="G49" s="57">
        <f>F49*'Stocking Rate Equations'!$D$22</f>
        <v>302.67706451757016</v>
      </c>
      <c r="H49" s="57">
        <f>F49/$F$17</f>
        <v>0.58321498138645722</v>
      </c>
      <c r="T49" s="54"/>
    </row>
    <row r="50" spans="1:20" x14ac:dyDescent="0.2">
      <c r="D50" t="s">
        <v>57</v>
      </c>
      <c r="F50" s="57">
        <f>F10</f>
        <v>663.16499999999996</v>
      </c>
      <c r="G50" s="57">
        <f>F50*'Stocking Rate Equations'!$D$22</f>
        <v>1308.8782894736842</v>
      </c>
      <c r="H50" s="57">
        <f>F50/$F$17</f>
        <v>2.5220193953223053</v>
      </c>
    </row>
    <row r="51" spans="1:20" x14ac:dyDescent="0.2">
      <c r="D51" t="s">
        <v>58</v>
      </c>
      <c r="F51" s="57">
        <f>SUM(F49:F50)</f>
        <v>816.5213793555688</v>
      </c>
      <c r="G51" s="57">
        <f>F51*'Stocking Rate Equations'!$D$22</f>
        <v>1611.5553539912542</v>
      </c>
      <c r="H51" s="57">
        <f>F51/$F$17</f>
        <v>3.1052343767087622</v>
      </c>
    </row>
    <row r="52" spans="1:20" x14ac:dyDescent="0.2">
      <c r="A52" s="56">
        <v>5</v>
      </c>
      <c r="B52" s="56" t="s">
        <v>13</v>
      </c>
      <c r="C52" s="56"/>
      <c r="D52" s="56"/>
      <c r="E52" s="56"/>
      <c r="F52" s="56" t="s">
        <v>62</v>
      </c>
      <c r="G52" s="56" t="s">
        <v>64</v>
      </c>
      <c r="H52" s="64" t="s">
        <v>136</v>
      </c>
    </row>
    <row r="53" spans="1:20" x14ac:dyDescent="0.2">
      <c r="D53" t="s">
        <v>267</v>
      </c>
      <c r="F53" s="57">
        <f>F14</f>
        <v>-64.664999999999964</v>
      </c>
      <c r="G53" s="57">
        <f t="shared" ref="G53" si="0">G14</f>
        <v>-127.62828947368416</v>
      </c>
      <c r="H53" s="57">
        <f>E14</f>
        <v>-0.14370000000000005</v>
      </c>
    </row>
    <row r="54" spans="1:20" x14ac:dyDescent="0.2">
      <c r="C54" s="63"/>
      <c r="D54" t="s">
        <v>254</v>
      </c>
      <c r="F54" s="57">
        <f>-F49</f>
        <v>-153.35637935556889</v>
      </c>
      <c r="G54" s="57">
        <f t="shared" ref="G54:H54" si="1">-G49</f>
        <v>-302.67706451757016</v>
      </c>
      <c r="H54" s="57">
        <f t="shared" si="1"/>
        <v>-0.58321498138645722</v>
      </c>
    </row>
    <row r="55" spans="1:20" ht="13.5" thickBot="1" x14ac:dyDescent="0.25">
      <c r="C55" s="63"/>
      <c r="D55" s="137" t="s">
        <v>268</v>
      </c>
      <c r="E55" s="137"/>
      <c r="F55" s="138">
        <f>SUM(F53:F54)</f>
        <v>-218.02137935556885</v>
      </c>
      <c r="G55" s="138">
        <f t="shared" ref="G55:H55" si="2">SUM(G53:G54)</f>
        <v>-430.30535399125432</v>
      </c>
      <c r="H55" s="138">
        <f t="shared" si="2"/>
        <v>-0.72691498138645727</v>
      </c>
    </row>
    <row r="56" spans="1:20" ht="13.5" thickTop="1" x14ac:dyDescent="0.2">
      <c r="C56" s="63"/>
      <c r="D56" t="s">
        <v>250</v>
      </c>
      <c r="F56" s="57">
        <f>F21</f>
        <v>285.05849999999998</v>
      </c>
      <c r="G56" s="57">
        <f>G21</f>
        <v>562.6154605263157</v>
      </c>
      <c r="H56" s="57">
        <f>E21</f>
        <v>1.0840787221905308</v>
      </c>
    </row>
    <row r="57" spans="1:20" x14ac:dyDescent="0.2">
      <c r="C57" s="69" t="s">
        <v>269</v>
      </c>
      <c r="F57" s="57">
        <f>F56+F55</f>
        <v>67.037120644431127</v>
      </c>
      <c r="G57" s="57">
        <f t="shared" ref="G57:H57" si="3">G56+G55</f>
        <v>132.31010653506138</v>
      </c>
      <c r="H57" s="57">
        <f t="shared" si="3"/>
        <v>0.35716374080407354</v>
      </c>
    </row>
    <row r="58" spans="1:20" x14ac:dyDescent="0.2">
      <c r="C58" s="68"/>
      <c r="D58" s="68"/>
      <c r="E58" s="133" t="str">
        <f>IF(H57&lt;0,"Value of gain does not cover buy-sell margin","")</f>
        <v/>
      </c>
      <c r="F58" s="68"/>
      <c r="G58" s="68"/>
      <c r="H58" s="68"/>
      <c r="J58" s="59"/>
      <c r="K58" s="132"/>
    </row>
    <row r="59" spans="1:20" x14ac:dyDescent="0.2">
      <c r="C59" t="s">
        <v>59</v>
      </c>
      <c r="F59" s="47">
        <f>F6</f>
        <v>948.22349999999994</v>
      </c>
      <c r="G59" s="60">
        <f>F59*'Stocking Rate Equations'!$D$22</f>
        <v>1871.4937499999999</v>
      </c>
      <c r="H59" s="60">
        <f>F59/$F$17</f>
        <v>3.6060981175128357</v>
      </c>
    </row>
    <row r="60" spans="1:20" ht="13.5" thickBot="1" x14ac:dyDescent="0.25">
      <c r="C60" s="137" t="s">
        <v>270</v>
      </c>
      <c r="D60" s="137"/>
      <c r="E60" s="137"/>
      <c r="F60" s="141">
        <f>F51</f>
        <v>816.5213793555688</v>
      </c>
      <c r="G60" s="142">
        <f>F60*'Stocking Rate Equations'!$D$22</f>
        <v>1611.5553539912542</v>
      </c>
      <c r="H60" s="142">
        <f>F60/$F$17</f>
        <v>3.1052343767087622</v>
      </c>
    </row>
    <row r="61" spans="1:20" ht="13.5" thickTop="1" x14ac:dyDescent="0.2">
      <c r="C61" t="s">
        <v>60</v>
      </c>
      <c r="F61" s="47">
        <f>F59-F60</f>
        <v>131.70212064443115</v>
      </c>
      <c r="G61" s="60">
        <f>F61*'Stocking Rate Equations'!$D$22</f>
        <v>259.93839600874566</v>
      </c>
      <c r="H61" s="60">
        <f>F61/$F$17</f>
        <v>0.5008637408040737</v>
      </c>
    </row>
    <row r="62" spans="1:20" x14ac:dyDescent="0.2">
      <c r="C62" s="59" t="s">
        <v>141</v>
      </c>
    </row>
    <row r="63" spans="1:20" ht="20.25" thickBot="1" x14ac:dyDescent="0.35">
      <c r="C63" s="67" t="s">
        <v>137</v>
      </c>
      <c r="D63" s="67"/>
      <c r="E63" s="67"/>
      <c r="F63" s="67"/>
      <c r="G63" s="67"/>
    </row>
    <row r="64" spans="1:20" ht="15.75" thickTop="1" x14ac:dyDescent="0.25">
      <c r="C64" s="65" t="s">
        <v>140</v>
      </c>
      <c r="D64" s="65"/>
      <c r="E64" s="65"/>
      <c r="F64" s="66">
        <f>(F60/B6)*100</f>
        <v>114.52715889691687</v>
      </c>
      <c r="G64" s="65" t="s">
        <v>129</v>
      </c>
    </row>
    <row r="65" spans="3:7" ht="15" x14ac:dyDescent="0.25">
      <c r="C65" s="65" t="s">
        <v>139</v>
      </c>
      <c r="D65" s="65"/>
      <c r="E65" s="65"/>
      <c r="F65" s="66">
        <f>(F60/C10)*100</f>
        <v>181.44919541234862</v>
      </c>
      <c r="G65" s="65" t="s">
        <v>129</v>
      </c>
    </row>
    <row r="66" spans="3:7" ht="15" x14ac:dyDescent="0.25">
      <c r="C66" s="65" t="s">
        <v>138</v>
      </c>
      <c r="D66" s="65"/>
      <c r="E66" s="65"/>
      <c r="F66" s="70">
        <f>((B6*D6)-(C10*E10))/(B6-C10)/100</f>
        <v>1.0840787221905304</v>
      </c>
      <c r="G66" s="65" t="s">
        <v>135</v>
      </c>
    </row>
  </sheetData>
  <phoneticPr fontId="12" type="noConversion"/>
  <printOptions horizontalCentered="1" verticalCentered="1"/>
  <pageMargins left="0.75" right="0.75" top="0.3" bottom="0.35" header="0.5" footer="0.35"/>
  <pageSetup scale="85" orientation="portrait" horizontalDpi="300" verticalDpi="3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NOTES</vt:lpstr>
      <vt:lpstr>Budget worksheets</vt:lpstr>
      <vt:lpstr>Stocking Rate Equations</vt:lpstr>
      <vt:lpstr>Buy-Sell Report</vt:lpstr>
      <vt:lpstr>Dry_Pasture</vt:lpstr>
      <vt:lpstr>Irrigated_Pasture</vt:lpstr>
      <vt:lpstr>'Budget worksheets'!Print_Area</vt:lpstr>
      <vt:lpstr>'Buy-Sell Report'!Print_Area</vt:lpstr>
      <vt:lpstr>'Stocking Rate Equations'!Print_Area</vt:lpstr>
    </vt:vector>
  </TitlesOfParts>
  <Company>University of Idaho-Extension Economics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 W Gray</dc:creator>
  <cp:lastModifiedBy>Painter, Kathleen</cp:lastModifiedBy>
  <cp:lastPrinted>2014-08-21T19:46:39Z</cp:lastPrinted>
  <dcterms:created xsi:type="dcterms:W3CDTF">2001-09-19T04:32:22Z</dcterms:created>
  <dcterms:modified xsi:type="dcterms:W3CDTF">2014-10-07T19:37:05Z</dcterms:modified>
</cp:coreProperties>
</file>