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300" windowWidth="12120" windowHeight="9000" activeTab="3"/>
  </bookViews>
  <sheets>
    <sheet name="Summary" sheetId="1" r:id="rId1"/>
    <sheet name="BSU" sheetId="2" r:id="rId2"/>
    <sheet name="ISU" sheetId="3" r:id="rId3"/>
    <sheet name="UI" sheetId="4" r:id="rId4"/>
    <sheet name="LCSC" sheetId="5" r:id="rId5"/>
    <sheet name="Chart Data $" sheetId="7" state="hidden" r:id="rId6"/>
    <sheet name="Chart Data %" sheetId="9" state="hidden" r:id="rId7"/>
    <sheet name="Revenues $" sheetId="6" r:id="rId8"/>
    <sheet name="Expenses $" sheetId="8" r:id="rId9"/>
    <sheet name="Revenues %" sheetId="10" state="hidden" r:id="rId10"/>
    <sheet name="Expenses %" sheetId="11" state="hidden" r:id="rId11"/>
    <sheet name="Revenues" sheetId="13" r:id="rId12"/>
    <sheet name="Expenditures" sheetId="14" r:id="rId13"/>
  </sheets>
  <definedNames>
    <definedName name="ALL" localSheetId="1">BSU!$B$2:$P$62</definedName>
    <definedName name="ALL" localSheetId="2">ISU!$B$2:$P$62</definedName>
    <definedName name="ALL" localSheetId="4">LCSC!$B$2:$P$65</definedName>
    <definedName name="ALL" localSheetId="3">UI!$B$2:$P$63</definedName>
    <definedName name="ALL">Summary!$B$1:$P$289</definedName>
    <definedName name="Area_p" localSheetId="1">BSU!#REF!</definedName>
    <definedName name="Area_p" localSheetId="2">ISU!#REF!</definedName>
    <definedName name="Area_p" localSheetId="4">LCSC!#REF!</definedName>
    <definedName name="Area_p" localSheetId="3">UI!#REF!</definedName>
    <definedName name="Area_print">BSU!$B$2:$P$57</definedName>
    <definedName name="_xlnm.Database" localSheetId="1">BSU!#REF!</definedName>
    <definedName name="_xlnm.Database" localSheetId="2">ISU!#REF!</definedName>
    <definedName name="_xlnm.Database" localSheetId="4">LCSC!#REF!</definedName>
    <definedName name="_xlnm.Database" localSheetId="3">UI!#REF!</definedName>
    <definedName name="_xlnm.Database">Summary!$B$1</definedName>
    <definedName name="ISU" localSheetId="1">BSU!$B$62:$P$62</definedName>
    <definedName name="ISU" localSheetId="2">ISU!#REF!</definedName>
    <definedName name="ISU" localSheetId="4">LCSC!#REF!</definedName>
    <definedName name="ISU" localSheetId="3">UI!#REF!</definedName>
    <definedName name="ISU">Summary!$B$119:$P$119</definedName>
    <definedName name="LCSC" localSheetId="1">BSU!#REF!</definedName>
    <definedName name="LCSC" localSheetId="2">ISU!#REF!</definedName>
    <definedName name="LCSC" localSheetId="4">LCSC!#REF!</definedName>
    <definedName name="LCSC" localSheetId="3">UI!$B$63:$P$63</definedName>
    <definedName name="LCSC">Summary!$B$231:$P$231</definedName>
    <definedName name="_xlnm.Print_Area" localSheetId="1">BSU!$A$1:$P$61</definedName>
    <definedName name="_xlnm.Print_Area" localSheetId="2">ISU!$A$1:$P$61</definedName>
    <definedName name="_xlnm.Print_Area" localSheetId="4">LCSC!$A$1:$P$61</definedName>
    <definedName name="_xlnm.Print_Area" localSheetId="0">Summary!$A$1:$P$62</definedName>
    <definedName name="_xlnm.Print_Area" localSheetId="3">UI!$A$1:$P$62</definedName>
    <definedName name="_xlnm.Print_Area">Summary!$B$1:$P$289</definedName>
    <definedName name="PRINT_AREA_MI" localSheetId="1">BSU!#REF!</definedName>
    <definedName name="PRINT_AREA_MI" localSheetId="2">ISU!#REF!</definedName>
    <definedName name="PRINT_AREA_MI" localSheetId="4">LCSC!#REF!</definedName>
    <definedName name="PRINT_AREA_MI" localSheetId="3">UI!#REF!</definedName>
    <definedName name="PRINT_AREA_MI">BSU!$B$2:$P$57</definedName>
    <definedName name="SUMMARY" localSheetId="1">BSU!#REF!</definedName>
    <definedName name="SUMMARY" localSheetId="2">ISU!#REF!</definedName>
    <definedName name="SUMMARY" localSheetId="4">LCSC!#REF!</definedName>
    <definedName name="SUMMARY" localSheetId="3">UI!#REF!</definedName>
    <definedName name="SUMMARY">Summary!$B$1:$P$63</definedName>
    <definedName name="UI" localSheetId="1">BSU!#REF!</definedName>
    <definedName name="UI" localSheetId="2">ISU!$B$62:$P$62</definedName>
    <definedName name="UI" localSheetId="4">LCSC!#REF!</definedName>
    <definedName name="UI" localSheetId="3">UI!#REF!</definedName>
    <definedName name="UI">Summary!$B$174:$P$174</definedName>
  </definedNames>
  <calcPr calcId="144525" calcMode="autoNoTable" iterate="1" iterateCount="1" iterateDelta="0"/>
</workbook>
</file>

<file path=xl/calcChain.xml><?xml version="1.0" encoding="utf-8"?>
<calcChain xmlns="http://schemas.openxmlformats.org/spreadsheetml/2006/main">
  <c r="K30" i="4" l="1"/>
  <c r="L57" i="4"/>
  <c r="L23" i="4"/>
  <c r="L45" i="4"/>
  <c r="L44" i="4"/>
  <c r="L44" i="1"/>
  <c r="L43" i="4"/>
  <c r="L39" i="4"/>
  <c r="L39" i="1"/>
  <c r="N39" i="1"/>
  <c r="L38" i="4"/>
  <c r="L37" i="4"/>
  <c r="L37" i="1"/>
  <c r="L51" i="1"/>
  <c r="L26" i="4"/>
  <c r="L25" i="4"/>
  <c r="L24" i="4"/>
  <c r="K46" i="4"/>
  <c r="K45" i="4"/>
  <c r="K44" i="4"/>
  <c r="K43" i="4"/>
  <c r="K42" i="4"/>
  <c r="K42" i="1"/>
  <c r="K41" i="4"/>
  <c r="K40" i="4"/>
  <c r="K39" i="4"/>
  <c r="K38" i="4"/>
  <c r="K37" i="4"/>
  <c r="K22" i="4"/>
  <c r="K22" i="1"/>
  <c r="K28" i="4"/>
  <c r="K27" i="4"/>
  <c r="K27" i="1"/>
  <c r="K25" i="4"/>
  <c r="K26" i="4"/>
  <c r="I46" i="4"/>
  <c r="I45" i="4"/>
  <c r="I30" i="4"/>
  <c r="I28" i="4"/>
  <c r="I26" i="4"/>
  <c r="I22" i="4"/>
  <c r="N22" i="4"/>
  <c r="G57" i="4"/>
  <c r="G39" i="4"/>
  <c r="N39" i="4"/>
  <c r="G38" i="4"/>
  <c r="G37" i="4"/>
  <c r="G13" i="4"/>
  <c r="E42" i="4"/>
  <c r="E16" i="4"/>
  <c r="N18" i="2"/>
  <c r="N18" i="3"/>
  <c r="N18" i="4"/>
  <c r="N20" i="4"/>
  <c r="N18" i="5"/>
  <c r="L18" i="1"/>
  <c r="K18" i="1"/>
  <c r="I18" i="1"/>
  <c r="G18" i="1"/>
  <c r="F18" i="1"/>
  <c r="N18" i="1"/>
  <c r="E18" i="1"/>
  <c r="E22" i="1"/>
  <c r="F22" i="1"/>
  <c r="G22" i="1"/>
  <c r="L22" i="1"/>
  <c r="I13" i="1"/>
  <c r="K13" i="1"/>
  <c r="L13" i="1"/>
  <c r="L20" i="1"/>
  <c r="E24" i="1"/>
  <c r="F24" i="1"/>
  <c r="N24" i="1"/>
  <c r="G24" i="1"/>
  <c r="I24" i="1"/>
  <c r="K24" i="1"/>
  <c r="F16" i="1"/>
  <c r="G16" i="1"/>
  <c r="I16" i="1"/>
  <c r="K16" i="1"/>
  <c r="L16" i="1"/>
  <c r="E28" i="1"/>
  <c r="F28" i="1"/>
  <c r="G28" i="1"/>
  <c r="L28" i="1"/>
  <c r="E27" i="1"/>
  <c r="F27" i="1"/>
  <c r="N27" i="1"/>
  <c r="G27" i="1"/>
  <c r="I27" i="1"/>
  <c r="L27" i="1"/>
  <c r="E26" i="1"/>
  <c r="F26" i="1"/>
  <c r="G26" i="1"/>
  <c r="E25" i="1"/>
  <c r="F25" i="1"/>
  <c r="G25" i="1"/>
  <c r="I25" i="1"/>
  <c r="E29" i="1"/>
  <c r="F29" i="1"/>
  <c r="N29" i="1"/>
  <c r="G29" i="1"/>
  <c r="I29" i="1"/>
  <c r="L29" i="1"/>
  <c r="E30" i="1"/>
  <c r="F30" i="1"/>
  <c r="G30" i="1"/>
  <c r="L30" i="1"/>
  <c r="E15" i="1"/>
  <c r="N15" i="1"/>
  <c r="R13" i="1"/>
  <c r="F15" i="1"/>
  <c r="G15" i="1"/>
  <c r="I15" i="1"/>
  <c r="K15" i="1"/>
  <c r="L15" i="1"/>
  <c r="E23" i="1"/>
  <c r="F23" i="1"/>
  <c r="G23" i="1"/>
  <c r="I23" i="1"/>
  <c r="K23" i="1"/>
  <c r="F14" i="1"/>
  <c r="G14" i="1"/>
  <c r="I14" i="1"/>
  <c r="K14" i="1"/>
  <c r="L14" i="1"/>
  <c r="I28" i="7"/>
  <c r="I15" i="7"/>
  <c r="K57" i="5"/>
  <c r="I57" i="5"/>
  <c r="N57" i="5"/>
  <c r="I30" i="5"/>
  <c r="I30" i="1"/>
  <c r="I28" i="5"/>
  <c r="I22" i="5"/>
  <c r="N22" i="5"/>
  <c r="F13" i="5"/>
  <c r="F13" i="1"/>
  <c r="N13" i="1"/>
  <c r="E13" i="5"/>
  <c r="K30" i="1"/>
  <c r="K29" i="1"/>
  <c r="K28" i="1"/>
  <c r="L26" i="1"/>
  <c r="I26" i="1"/>
  <c r="K25" i="1"/>
  <c r="L24" i="1"/>
  <c r="I22" i="1"/>
  <c r="G57" i="3"/>
  <c r="G39" i="3"/>
  <c r="G39" i="1"/>
  <c r="G37" i="3"/>
  <c r="E14" i="3"/>
  <c r="E14" i="1"/>
  <c r="N14" i="1"/>
  <c r="R14" i="1"/>
  <c r="G13" i="3"/>
  <c r="G13" i="1"/>
  <c r="E13" i="3"/>
  <c r="E13" i="1"/>
  <c r="L45" i="2"/>
  <c r="E16" i="2"/>
  <c r="N17" i="2"/>
  <c r="N16" i="2"/>
  <c r="N14" i="2"/>
  <c r="N13" i="2"/>
  <c r="N15" i="2"/>
  <c r="N22" i="2"/>
  <c r="N23" i="2"/>
  <c r="N24" i="2"/>
  <c r="N25" i="2"/>
  <c r="N26" i="2"/>
  <c r="N27" i="2"/>
  <c r="N28" i="2"/>
  <c r="N29" i="2"/>
  <c r="N30" i="2"/>
  <c r="N17" i="3"/>
  <c r="N16" i="3"/>
  <c r="N15" i="3"/>
  <c r="N22" i="3"/>
  <c r="N23" i="3"/>
  <c r="N24" i="3"/>
  <c r="N25" i="3"/>
  <c r="N26" i="3"/>
  <c r="N27" i="3"/>
  <c r="N28" i="3"/>
  <c r="N29" i="3"/>
  <c r="N30" i="3"/>
  <c r="N17" i="4"/>
  <c r="N13" i="4"/>
  <c r="N14" i="4"/>
  <c r="N15" i="4"/>
  <c r="N24" i="4"/>
  <c r="N29" i="4"/>
  <c r="N30" i="4"/>
  <c r="N17" i="5"/>
  <c r="N16" i="5"/>
  <c r="N14" i="5"/>
  <c r="N13" i="5"/>
  <c r="N20" i="5"/>
  <c r="N15" i="5"/>
  <c r="N23" i="5"/>
  <c r="N24" i="5"/>
  <c r="N25" i="5"/>
  <c r="N26" i="5"/>
  <c r="N27" i="5"/>
  <c r="N28" i="5"/>
  <c r="N29" i="5"/>
  <c r="E17" i="1"/>
  <c r="F17" i="1"/>
  <c r="G17" i="1"/>
  <c r="I17" i="1"/>
  <c r="K17" i="1"/>
  <c r="L17" i="1"/>
  <c r="E37" i="1"/>
  <c r="F37" i="1"/>
  <c r="I37" i="1"/>
  <c r="K37" i="1"/>
  <c r="E45" i="1"/>
  <c r="F45" i="1"/>
  <c r="G45" i="1"/>
  <c r="K45" i="1"/>
  <c r="L45" i="1"/>
  <c r="E46" i="1"/>
  <c r="F46" i="1"/>
  <c r="G46" i="1"/>
  <c r="I46" i="1"/>
  <c r="L46" i="1"/>
  <c r="E38" i="1"/>
  <c r="F38" i="1"/>
  <c r="G38" i="1"/>
  <c r="I38" i="1"/>
  <c r="L38" i="1"/>
  <c r="E43" i="1"/>
  <c r="F43" i="1"/>
  <c r="G43" i="1"/>
  <c r="I43" i="1"/>
  <c r="K43" i="1"/>
  <c r="L43" i="1"/>
  <c r="E44" i="1"/>
  <c r="F44" i="1"/>
  <c r="G44" i="1"/>
  <c r="I44" i="1"/>
  <c r="E40" i="1"/>
  <c r="F40" i="1"/>
  <c r="G40" i="1"/>
  <c r="I40" i="1"/>
  <c r="L40" i="1"/>
  <c r="E48" i="1"/>
  <c r="F48" i="1"/>
  <c r="G48" i="1"/>
  <c r="I48" i="1"/>
  <c r="K48" i="1"/>
  <c r="L48" i="1"/>
  <c r="E39" i="1"/>
  <c r="F39" i="1"/>
  <c r="I39" i="1"/>
  <c r="K39" i="1"/>
  <c r="F42" i="1"/>
  <c r="G42" i="1"/>
  <c r="I42" i="1"/>
  <c r="L42" i="1"/>
  <c r="E41" i="1"/>
  <c r="F41" i="1"/>
  <c r="G41" i="1"/>
  <c r="I41" i="1"/>
  <c r="K41" i="1"/>
  <c r="L41" i="1"/>
  <c r="E49" i="1"/>
  <c r="F49" i="1"/>
  <c r="G49" i="1"/>
  <c r="I49" i="1"/>
  <c r="K49" i="1"/>
  <c r="L49" i="1"/>
  <c r="H28" i="7"/>
  <c r="H18" i="9"/>
  <c r="H15" i="7"/>
  <c r="H2" i="9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G28" i="7"/>
  <c r="G20" i="9"/>
  <c r="G15" i="7"/>
  <c r="G2" i="9"/>
  <c r="N46" i="2"/>
  <c r="N49" i="5"/>
  <c r="N37" i="5"/>
  <c r="N51" i="5"/>
  <c r="P40" i="5"/>
  <c r="N38" i="5"/>
  <c r="N39" i="5"/>
  <c r="N40" i="5"/>
  <c r="N41" i="5"/>
  <c r="N42" i="5"/>
  <c r="N43" i="5"/>
  <c r="N44" i="5"/>
  <c r="N45" i="5"/>
  <c r="N46" i="5"/>
  <c r="N47" i="5"/>
  <c r="L51" i="5"/>
  <c r="K51" i="5"/>
  <c r="I51" i="5"/>
  <c r="G51" i="5"/>
  <c r="F51" i="5"/>
  <c r="E51" i="5"/>
  <c r="N41" i="4"/>
  <c r="N43" i="4"/>
  <c r="N49" i="4"/>
  <c r="N47" i="4"/>
  <c r="L51" i="4"/>
  <c r="C22" i="7"/>
  <c r="C28" i="7"/>
  <c r="C15" i="7"/>
  <c r="F28" i="7"/>
  <c r="E28" i="7"/>
  <c r="D22" i="7"/>
  <c r="B22" i="7"/>
  <c r="B28" i="7"/>
  <c r="F15" i="7"/>
  <c r="E15" i="7"/>
  <c r="D15" i="7"/>
  <c r="K4" i="7"/>
  <c r="B15" i="7"/>
  <c r="N49" i="2"/>
  <c r="N37" i="2"/>
  <c r="N38" i="2"/>
  <c r="N51" i="2"/>
  <c r="N39" i="2"/>
  <c r="N40" i="2"/>
  <c r="N41" i="2"/>
  <c r="N42" i="2"/>
  <c r="N43" i="2"/>
  <c r="N44" i="2"/>
  <c r="N45" i="2"/>
  <c r="N47" i="2"/>
  <c r="N48" i="2"/>
  <c r="N49" i="3"/>
  <c r="N37" i="3"/>
  <c r="N38" i="3"/>
  <c r="N40" i="3"/>
  <c r="N41" i="3"/>
  <c r="N42" i="3"/>
  <c r="N43" i="3"/>
  <c r="N44" i="3"/>
  <c r="N45" i="3"/>
  <c r="N46" i="3"/>
  <c r="N47" i="3"/>
  <c r="N48" i="3"/>
  <c r="E47" i="1"/>
  <c r="F47" i="1"/>
  <c r="G47" i="1"/>
  <c r="I47" i="1"/>
  <c r="K47" i="1"/>
  <c r="L47" i="1"/>
  <c r="N57" i="2"/>
  <c r="L20" i="2"/>
  <c r="L32" i="2"/>
  <c r="L54" i="2"/>
  <c r="L51" i="2"/>
  <c r="K20" i="2"/>
  <c r="K32" i="2"/>
  <c r="K54" i="2"/>
  <c r="K51" i="2"/>
  <c r="I20" i="2"/>
  <c r="I32" i="2"/>
  <c r="I54" i="2"/>
  <c r="I51" i="2"/>
  <c r="G20" i="2"/>
  <c r="G32" i="2"/>
  <c r="G54" i="2"/>
  <c r="G51" i="2"/>
  <c r="F20" i="2"/>
  <c r="F32" i="2"/>
  <c r="F54" i="2"/>
  <c r="F51" i="2"/>
  <c r="E20" i="2"/>
  <c r="E32" i="2"/>
  <c r="E54" i="2"/>
  <c r="E51" i="2"/>
  <c r="B4" i="2"/>
  <c r="F20" i="9"/>
  <c r="F24" i="9"/>
  <c r="F2" i="9"/>
  <c r="F3" i="9"/>
  <c r="F4" i="9"/>
  <c r="F5" i="9"/>
  <c r="F6" i="9"/>
  <c r="F7" i="9"/>
  <c r="F8" i="9"/>
  <c r="F9" i="9"/>
  <c r="F10" i="9"/>
  <c r="F11" i="9"/>
  <c r="F12" i="9"/>
  <c r="F13" i="9"/>
  <c r="E17" i="9"/>
  <c r="E18" i="9"/>
  <c r="E19" i="9"/>
  <c r="E20" i="9"/>
  <c r="E21" i="9"/>
  <c r="E22" i="9"/>
  <c r="E23" i="9"/>
  <c r="E24" i="9"/>
  <c r="E25" i="9"/>
  <c r="E26" i="9"/>
  <c r="E3" i="9"/>
  <c r="E6" i="9"/>
  <c r="E10" i="9"/>
  <c r="D2" i="9"/>
  <c r="D3" i="9"/>
  <c r="D4" i="9"/>
  <c r="D5" i="9"/>
  <c r="D6" i="9"/>
  <c r="D7" i="9"/>
  <c r="D8" i="9"/>
  <c r="D9" i="9"/>
  <c r="D10" i="9"/>
  <c r="D11" i="9"/>
  <c r="D12" i="9"/>
  <c r="D13" i="9"/>
  <c r="C2" i="9"/>
  <c r="C15" i="9"/>
  <c r="C3" i="9"/>
  <c r="C4" i="9"/>
  <c r="C5" i="9"/>
  <c r="C6" i="9"/>
  <c r="C7" i="9"/>
  <c r="C8" i="9"/>
  <c r="C9" i="9"/>
  <c r="C10" i="9"/>
  <c r="C11" i="9"/>
  <c r="C12" i="9"/>
  <c r="C13" i="9"/>
  <c r="B17" i="9"/>
  <c r="B19" i="9"/>
  <c r="B22" i="9"/>
  <c r="B25" i="9"/>
  <c r="B2" i="9"/>
  <c r="B3" i="9"/>
  <c r="B4" i="9"/>
  <c r="B5" i="9"/>
  <c r="B6" i="9"/>
  <c r="B7" i="9"/>
  <c r="B8" i="9"/>
  <c r="B9" i="9"/>
  <c r="B10" i="9"/>
  <c r="B11" i="9"/>
  <c r="B12" i="9"/>
  <c r="B13" i="9"/>
  <c r="N57" i="3"/>
  <c r="L20" i="3"/>
  <c r="L32" i="3"/>
  <c r="L54" i="3"/>
  <c r="L51" i="3"/>
  <c r="K20" i="3"/>
  <c r="K32" i="3"/>
  <c r="K54" i="3"/>
  <c r="K51" i="3"/>
  <c r="I20" i="3"/>
  <c r="I32" i="3"/>
  <c r="I51" i="3"/>
  <c r="I54" i="3"/>
  <c r="G20" i="3"/>
  <c r="G32" i="3"/>
  <c r="F20" i="3"/>
  <c r="F32" i="3"/>
  <c r="F54" i="3"/>
  <c r="F51" i="3"/>
  <c r="E51" i="3"/>
  <c r="B4" i="3"/>
  <c r="L20" i="5"/>
  <c r="L32" i="5"/>
  <c r="L54" i="5"/>
  <c r="K20" i="5"/>
  <c r="K32" i="5"/>
  <c r="K54" i="5"/>
  <c r="I20" i="5"/>
  <c r="I32" i="5"/>
  <c r="I54" i="5"/>
  <c r="G20" i="5"/>
  <c r="G32" i="5"/>
  <c r="G54" i="5"/>
  <c r="F20" i="5"/>
  <c r="F32" i="5"/>
  <c r="F54" i="5"/>
  <c r="E20" i="5"/>
  <c r="E32" i="5"/>
  <c r="E54" i="5"/>
  <c r="B4" i="5"/>
  <c r="F20" i="1"/>
  <c r="F32" i="1"/>
  <c r="F54" i="1"/>
  <c r="K20" i="1"/>
  <c r="F51" i="1"/>
  <c r="E57" i="1"/>
  <c r="F57" i="1"/>
  <c r="G57" i="1"/>
  <c r="I57" i="1"/>
  <c r="K57" i="1"/>
  <c r="L57" i="1"/>
  <c r="N57" i="4"/>
  <c r="L20" i="4"/>
  <c r="K20" i="4"/>
  <c r="K32" i="4"/>
  <c r="I20" i="4"/>
  <c r="G20" i="4"/>
  <c r="G32" i="4"/>
  <c r="B4" i="4"/>
  <c r="G13" i="9"/>
  <c r="G11" i="9"/>
  <c r="G9" i="9"/>
  <c r="G7" i="9"/>
  <c r="G5" i="9"/>
  <c r="G3" i="9"/>
  <c r="G23" i="9"/>
  <c r="H13" i="9"/>
  <c r="H11" i="9"/>
  <c r="H9" i="9"/>
  <c r="H7" i="9"/>
  <c r="H5" i="9"/>
  <c r="H3" i="9"/>
  <c r="H25" i="9"/>
  <c r="H23" i="9"/>
  <c r="H21" i="9"/>
  <c r="H19" i="9"/>
  <c r="H17" i="9"/>
  <c r="H28" i="9"/>
  <c r="K3" i="7"/>
  <c r="K5" i="7"/>
  <c r="K6" i="7"/>
  <c r="D28" i="7"/>
  <c r="G12" i="9"/>
  <c r="G10" i="9"/>
  <c r="G8" i="9"/>
  <c r="G6" i="9"/>
  <c r="G4" i="9"/>
  <c r="G24" i="9"/>
  <c r="H12" i="9"/>
  <c r="H10" i="9"/>
  <c r="H8" i="9"/>
  <c r="H6" i="9"/>
  <c r="H4" i="9"/>
  <c r="H26" i="9"/>
  <c r="H24" i="9"/>
  <c r="H22" i="9"/>
  <c r="H20" i="9"/>
  <c r="K2" i="7"/>
  <c r="K24" i="7"/>
  <c r="D24" i="9"/>
  <c r="D21" i="9"/>
  <c r="N48" i="1"/>
  <c r="R33" i="1"/>
  <c r="N43" i="1"/>
  <c r="J21" i="7"/>
  <c r="J12" i="7"/>
  <c r="F15" i="9"/>
  <c r="R28" i="1"/>
  <c r="H15" i="9"/>
  <c r="E28" i="9"/>
  <c r="G20" i="1"/>
  <c r="G32" i="1"/>
  <c r="N57" i="1"/>
  <c r="N47" i="1"/>
  <c r="G15" i="9"/>
  <c r="N41" i="1"/>
  <c r="R26" i="1"/>
  <c r="N17" i="1"/>
  <c r="N30" i="1"/>
  <c r="J11" i="7"/>
  <c r="C17" i="9"/>
  <c r="C19" i="9"/>
  <c r="C23" i="9"/>
  <c r="C25" i="9"/>
  <c r="C18" i="9"/>
  <c r="C22" i="9"/>
  <c r="C24" i="9"/>
  <c r="C26" i="9"/>
  <c r="P44" i="5"/>
  <c r="P45" i="5"/>
  <c r="P42" i="5"/>
  <c r="P43" i="5"/>
  <c r="J14" i="7"/>
  <c r="N16" i="4"/>
  <c r="E16" i="1"/>
  <c r="N16" i="1"/>
  <c r="E20" i="4"/>
  <c r="E32" i="4"/>
  <c r="J10" i="7"/>
  <c r="J26" i="7"/>
  <c r="D26" i="9"/>
  <c r="D18" i="9"/>
  <c r="K23" i="7"/>
  <c r="N13" i="3"/>
  <c r="R12" i="1"/>
  <c r="J3" i="7"/>
  <c r="R24" i="1"/>
  <c r="J24" i="7"/>
  <c r="J4" i="7"/>
  <c r="P47" i="2"/>
  <c r="P37" i="2"/>
  <c r="P42" i="2"/>
  <c r="P49" i="2"/>
  <c r="P44" i="2"/>
  <c r="P38" i="2"/>
  <c r="P39" i="2"/>
  <c r="P48" i="2"/>
  <c r="P46" i="2"/>
  <c r="P43" i="2"/>
  <c r="P41" i="2"/>
  <c r="P40" i="2"/>
  <c r="P45" i="2"/>
  <c r="N20" i="1"/>
  <c r="J2" i="7"/>
  <c r="R19" i="1"/>
  <c r="L32" i="1"/>
  <c r="L54" i="1"/>
  <c r="K25" i="7"/>
  <c r="K26" i="7"/>
  <c r="D20" i="9"/>
  <c r="D19" i="9"/>
  <c r="K21" i="7"/>
  <c r="K20" i="7"/>
  <c r="D23" i="9"/>
  <c r="B15" i="9"/>
  <c r="D15" i="9"/>
  <c r="I20" i="1"/>
  <c r="N22" i="1"/>
  <c r="E42" i="1"/>
  <c r="N42" i="4"/>
  <c r="I28" i="1"/>
  <c r="N28" i="1"/>
  <c r="N28" i="4"/>
  <c r="N26" i="4"/>
  <c r="K26" i="1"/>
  <c r="N40" i="4"/>
  <c r="K40" i="1"/>
  <c r="K44" i="1"/>
  <c r="N44" i="1"/>
  <c r="N44" i="4"/>
  <c r="L25" i="1"/>
  <c r="N25" i="1"/>
  <c r="N25" i="4"/>
  <c r="L23" i="1"/>
  <c r="N23" i="1"/>
  <c r="N23" i="4"/>
  <c r="K19" i="7"/>
  <c r="K18" i="7"/>
  <c r="E20" i="1"/>
  <c r="E32" i="1"/>
  <c r="P47" i="5"/>
  <c r="P38" i="5"/>
  <c r="J7" i="7"/>
  <c r="D25" i="9"/>
  <c r="K17" i="7"/>
  <c r="E20" i="3"/>
  <c r="E32" i="3"/>
  <c r="E54" i="3"/>
  <c r="G51" i="3"/>
  <c r="N39" i="3"/>
  <c r="E7" i="9"/>
  <c r="E11" i="9"/>
  <c r="E2" i="9"/>
  <c r="E5" i="9"/>
  <c r="E9" i="9"/>
  <c r="E13" i="9"/>
  <c r="E4" i="9"/>
  <c r="E12" i="9"/>
  <c r="E8" i="9"/>
  <c r="K22" i="7"/>
  <c r="C21" i="9"/>
  <c r="C20" i="9"/>
  <c r="C28" i="9"/>
  <c r="N49" i="1"/>
  <c r="N30" i="5"/>
  <c r="N27" i="4"/>
  <c r="N14" i="3"/>
  <c r="G54" i="3"/>
  <c r="P49" i="5"/>
  <c r="P41" i="5"/>
  <c r="P46" i="5"/>
  <c r="G18" i="9"/>
  <c r="G25" i="9"/>
  <c r="G17" i="9"/>
  <c r="G22" i="9"/>
  <c r="G21" i="9"/>
  <c r="G26" i="9"/>
  <c r="G37" i="1"/>
  <c r="G51" i="1"/>
  <c r="G54" i="1"/>
  <c r="G51" i="4"/>
  <c r="G54" i="4"/>
  <c r="N37" i="4"/>
  <c r="N45" i="4"/>
  <c r="I51" i="4"/>
  <c r="I45" i="1"/>
  <c r="K38" i="1"/>
  <c r="N38" i="4"/>
  <c r="K51" i="4"/>
  <c r="K54" i="4"/>
  <c r="K46" i="1"/>
  <c r="N46" i="1"/>
  <c r="N46" i="4"/>
  <c r="D22" i="9"/>
  <c r="P39" i="5"/>
  <c r="P37" i="5"/>
  <c r="D17" i="9"/>
  <c r="G19" i="9"/>
  <c r="I32" i="4"/>
  <c r="I54" i="4"/>
  <c r="L32" i="4"/>
  <c r="L54" i="4"/>
  <c r="B20" i="9"/>
  <c r="B24" i="9"/>
  <c r="B21" i="9"/>
  <c r="B26" i="9"/>
  <c r="B18" i="9"/>
  <c r="B28" i="9"/>
  <c r="B23" i="9"/>
  <c r="F19" i="9"/>
  <c r="F23" i="9"/>
  <c r="F17" i="9"/>
  <c r="F21" i="9"/>
  <c r="F25" i="9"/>
  <c r="F18" i="9"/>
  <c r="F26" i="9"/>
  <c r="F22" i="9"/>
  <c r="E51" i="4"/>
  <c r="E54" i="4"/>
  <c r="N40" i="1"/>
  <c r="N38" i="1"/>
  <c r="N32" i="5"/>
  <c r="N20" i="2"/>
  <c r="J9" i="7"/>
  <c r="R17" i="1"/>
  <c r="P28" i="5"/>
  <c r="N54" i="5"/>
  <c r="P14" i="5"/>
  <c r="P16" i="5"/>
  <c r="P25" i="5"/>
  <c r="P23" i="5"/>
  <c r="P20" i="5"/>
  <c r="P24" i="5"/>
  <c r="P29" i="5"/>
  <c r="P26" i="5"/>
  <c r="P27" i="5"/>
  <c r="P17" i="5"/>
  <c r="P13" i="5"/>
  <c r="P18" i="5"/>
  <c r="P15" i="5"/>
  <c r="N45" i="1"/>
  <c r="I51" i="1"/>
  <c r="N20" i="3"/>
  <c r="P44" i="4"/>
  <c r="N32" i="4"/>
  <c r="P23" i="4"/>
  <c r="J20" i="7"/>
  <c r="R23" i="1"/>
  <c r="F28" i="9"/>
  <c r="D28" i="9"/>
  <c r="G28" i="9"/>
  <c r="N51" i="3"/>
  <c r="P39" i="3"/>
  <c r="E54" i="1"/>
  <c r="R16" i="1"/>
  <c r="J13" i="7"/>
  <c r="R29" i="1"/>
  <c r="J22" i="7"/>
  <c r="N42" i="1"/>
  <c r="E51" i="1"/>
  <c r="R25" i="1"/>
  <c r="J23" i="7"/>
  <c r="P51" i="5"/>
  <c r="P38" i="4"/>
  <c r="P30" i="5"/>
  <c r="E15" i="9"/>
  <c r="P28" i="4"/>
  <c r="J6" i="7"/>
  <c r="Y16" i="1"/>
  <c r="Y15" i="1"/>
  <c r="R15" i="1"/>
  <c r="R31" i="1"/>
  <c r="J19" i="7"/>
  <c r="J27" i="7"/>
  <c r="R32" i="1"/>
  <c r="K32" i="1"/>
  <c r="N26" i="1"/>
  <c r="N32" i="2"/>
  <c r="P20" i="2"/>
  <c r="K51" i="1"/>
  <c r="N51" i="4"/>
  <c r="P37" i="4"/>
  <c r="N37" i="1"/>
  <c r="P40" i="4"/>
  <c r="J5" i="7"/>
  <c r="I32" i="1"/>
  <c r="P51" i="2"/>
  <c r="P22" i="5"/>
  <c r="R18" i="1"/>
  <c r="J8" i="7"/>
  <c r="P26" i="1"/>
  <c r="R27" i="1"/>
  <c r="J25" i="7"/>
  <c r="P42" i="1"/>
  <c r="N32" i="1"/>
  <c r="P41" i="4"/>
  <c r="P43" i="4"/>
  <c r="P47" i="4"/>
  <c r="P39" i="4"/>
  <c r="P51" i="4"/>
  <c r="P49" i="4"/>
  <c r="P17" i="2"/>
  <c r="P14" i="2"/>
  <c r="P25" i="2"/>
  <c r="P23" i="2"/>
  <c r="N54" i="2"/>
  <c r="P26" i="2"/>
  <c r="P22" i="2"/>
  <c r="P13" i="2"/>
  <c r="P32" i="2"/>
  <c r="P18" i="2"/>
  <c r="P24" i="2"/>
  <c r="P29" i="2"/>
  <c r="P16" i="2"/>
  <c r="P15" i="2"/>
  <c r="P30" i="2"/>
  <c r="P27" i="2"/>
  <c r="P28" i="2"/>
  <c r="K54" i="1"/>
  <c r="P26" i="4"/>
  <c r="J18" i="7"/>
  <c r="R30" i="1"/>
  <c r="Y18" i="1"/>
  <c r="R20" i="1"/>
  <c r="S17" i="1"/>
  <c r="Y17" i="1"/>
  <c r="P41" i="3"/>
  <c r="P47" i="3"/>
  <c r="P40" i="3"/>
  <c r="P42" i="3"/>
  <c r="P43" i="3"/>
  <c r="P49" i="3"/>
  <c r="P37" i="3"/>
  <c r="P38" i="3"/>
  <c r="P44" i="3"/>
  <c r="P45" i="3"/>
  <c r="P46" i="3"/>
  <c r="P48" i="3"/>
  <c r="P17" i="4"/>
  <c r="P13" i="4"/>
  <c r="P15" i="4"/>
  <c r="P24" i="4"/>
  <c r="P29" i="4"/>
  <c r="P18" i="4"/>
  <c r="P30" i="4"/>
  <c r="N54" i="4"/>
  <c r="P22" i="4"/>
  <c r="P14" i="4"/>
  <c r="P16" i="4"/>
  <c r="P20" i="4"/>
  <c r="P20" i="3"/>
  <c r="N32" i="3"/>
  <c r="P32" i="5"/>
  <c r="I54" i="1"/>
  <c r="R22" i="1"/>
  <c r="J17" i="7"/>
  <c r="N51" i="1"/>
  <c r="P37" i="1"/>
  <c r="P46" i="4"/>
  <c r="J15" i="7"/>
  <c r="P25" i="4"/>
  <c r="P45" i="4"/>
  <c r="P27" i="4"/>
  <c r="P42" i="4"/>
  <c r="I12" i="9"/>
  <c r="I10" i="9"/>
  <c r="I11" i="9"/>
  <c r="L4" i="7"/>
  <c r="I4" i="9"/>
  <c r="L2" i="7"/>
  <c r="L3" i="7"/>
  <c r="I7" i="9"/>
  <c r="I2" i="9"/>
  <c r="I3" i="9"/>
  <c r="L5" i="7"/>
  <c r="S16" i="1"/>
  <c r="P43" i="1"/>
  <c r="P47" i="1"/>
  <c r="P41" i="1"/>
  <c r="P51" i="1"/>
  <c r="P39" i="1"/>
  <c r="P48" i="1"/>
  <c r="P38" i="1"/>
  <c r="P44" i="1"/>
  <c r="P40" i="1"/>
  <c r="P46" i="1"/>
  <c r="P49" i="1"/>
  <c r="P32" i="4"/>
  <c r="I6" i="9"/>
  <c r="P17" i="1"/>
  <c r="P27" i="1"/>
  <c r="P14" i="1"/>
  <c r="N54" i="1"/>
  <c r="P16" i="1"/>
  <c r="P30" i="1"/>
  <c r="P29" i="1"/>
  <c r="P18" i="1"/>
  <c r="P15" i="1"/>
  <c r="P24" i="1"/>
  <c r="P13" i="1"/>
  <c r="P22" i="1"/>
  <c r="P23" i="1"/>
  <c r="P20" i="1"/>
  <c r="P28" i="1"/>
  <c r="P25" i="1"/>
  <c r="I8" i="9"/>
  <c r="I9" i="9"/>
  <c r="J28" i="7"/>
  <c r="L17" i="7"/>
  <c r="P51" i="3"/>
  <c r="S20" i="1"/>
  <c r="S14" i="1"/>
  <c r="S12" i="1"/>
  <c r="S13" i="1"/>
  <c r="S19" i="1"/>
  <c r="L6" i="7"/>
  <c r="S27" i="1"/>
  <c r="S18" i="1"/>
  <c r="R34" i="1"/>
  <c r="S22" i="1"/>
  <c r="P27" i="3"/>
  <c r="N54" i="3"/>
  <c r="P29" i="3"/>
  <c r="P13" i="3"/>
  <c r="P32" i="3"/>
  <c r="P26" i="3"/>
  <c r="P15" i="3"/>
  <c r="P24" i="3"/>
  <c r="P30" i="3"/>
  <c r="P28" i="3"/>
  <c r="P18" i="3"/>
  <c r="P17" i="3"/>
  <c r="P23" i="3"/>
  <c r="P25" i="3"/>
  <c r="P22" i="3"/>
  <c r="P16" i="3"/>
  <c r="P14" i="3"/>
  <c r="S15" i="1"/>
  <c r="P45" i="1"/>
  <c r="I13" i="9"/>
  <c r="I5" i="9"/>
  <c r="I25" i="9"/>
  <c r="L18" i="7"/>
  <c r="S28" i="1"/>
  <c r="S34" i="1"/>
  <c r="S26" i="1"/>
  <c r="S33" i="1"/>
  <c r="S24" i="1"/>
  <c r="S25" i="1"/>
  <c r="S29" i="1"/>
  <c r="S23" i="1"/>
  <c r="S32" i="1"/>
  <c r="S31" i="1"/>
  <c r="S30" i="1"/>
  <c r="L21" i="7"/>
  <c r="I21" i="9"/>
  <c r="I26" i="9"/>
  <c r="L26" i="7"/>
  <c r="L24" i="7"/>
  <c r="I24" i="9"/>
  <c r="I19" i="9"/>
  <c r="I22" i="9"/>
  <c r="I20" i="9"/>
  <c r="L22" i="7"/>
  <c r="I23" i="9"/>
  <c r="L20" i="7"/>
  <c r="L23" i="7"/>
  <c r="L19" i="7"/>
  <c r="I17" i="9"/>
  <c r="I28" i="9"/>
  <c r="L25" i="7"/>
  <c r="P32" i="1"/>
  <c r="I18" i="9"/>
  <c r="I15" i="9"/>
</calcChain>
</file>

<file path=xl/comments1.xml><?xml version="1.0" encoding="utf-8"?>
<comments xmlns="http://schemas.openxmlformats.org/spreadsheetml/2006/main">
  <authors>
    <author>aacrosen</author>
  </authors>
  <commentList>
    <comment ref="I26" authorId="0">
      <text>
        <r>
          <rPr>
            <b/>
            <sz val="10"/>
            <color indexed="81"/>
            <rFont val="Tahoma"/>
            <family val="2"/>
          </rPr>
          <t>aacrosen:</t>
        </r>
        <r>
          <rPr>
            <sz val="10"/>
            <color indexed="81"/>
            <rFont val="Tahoma"/>
            <family val="2"/>
          </rPr>
          <t xml:space="preserve">
BAA and Morrison Ctr. Foundation</t>
        </r>
      </text>
    </comment>
    <comment ref="K30" authorId="0">
      <text>
        <r>
          <rPr>
            <b/>
            <sz val="8"/>
            <color indexed="81"/>
            <rFont val="Tahoma"/>
            <family val="2"/>
          </rPr>
          <t>aacrosen:</t>
        </r>
        <r>
          <rPr>
            <sz val="8"/>
            <color indexed="81"/>
            <rFont val="Tahoma"/>
            <family val="2"/>
          </rPr>
          <t xml:space="preserve">
Interdept. Revenue, Interest income and workshop revenue - primarily</t>
        </r>
      </text>
    </comment>
  </commentList>
</comments>
</file>

<file path=xl/comments2.xml><?xml version="1.0" encoding="utf-8"?>
<comments xmlns="http://schemas.openxmlformats.org/spreadsheetml/2006/main">
  <authors>
    <author>Trina Mahoney</author>
    <author xml:space="preserve"> </author>
    <author>tmahoney</author>
  </authors>
  <commentList>
    <comment ref="G13" authorId="0">
      <text>
        <r>
          <rPr>
            <b/>
            <sz val="8"/>
            <color indexed="81"/>
            <rFont val="Tahoma"/>
            <family val="2"/>
          </rPr>
          <t>Trina Mahoney:</t>
        </r>
        <r>
          <rPr>
            <sz val="8"/>
            <color indexed="81"/>
            <rFont val="Tahoma"/>
            <family val="2"/>
          </rPr>
          <t xml:space="preserve">
$24,989,900 ARES
$  1,739,700 WOI
$  3,405,200 WWAMI
$     556,500 FUR
$     768,600 IGS</t>
        </r>
      </text>
    </comment>
    <comment ref="E16" authorId="1">
      <text>
        <r>
          <rPr>
            <sz val="10"/>
            <color indexed="81"/>
            <rFont val="Tahoma"/>
            <family val="2"/>
          </rPr>
          <t>Fees per budget book less the One-Time less the Misc. Revenue</t>
        </r>
      </text>
    </comment>
    <comment ref="E17" authorId="0">
      <text>
        <r>
          <rPr>
            <b/>
            <sz val="8"/>
            <color indexed="81"/>
            <rFont val="Tahoma"/>
            <family val="2"/>
          </rPr>
          <t>Trina Mahoney:</t>
        </r>
        <r>
          <rPr>
            <sz val="8"/>
            <color indexed="81"/>
            <rFont val="Tahoma"/>
            <family val="2"/>
          </rPr>
          <t xml:space="preserve">
Student Fees OT are per DU 3.00 FY 2009 Original Appropriation
Does not include Dairy (don't consider OT per Scott Christie) or CAES (included in single line for ARRA)</t>
        </r>
      </text>
    </comment>
    <comment ref="G22" authorId="0">
      <text>
        <r>
          <rPr>
            <b/>
            <sz val="8"/>
            <color indexed="81"/>
            <rFont val="Tahoma"/>
            <family val="2"/>
          </rPr>
          <t>Trina Mahoney:</t>
        </r>
        <r>
          <rPr>
            <sz val="8"/>
            <color indexed="81"/>
            <rFont val="Tahoma"/>
            <family val="2"/>
          </rPr>
          <t xml:space="preserve">
WWAMI</t>
        </r>
      </text>
    </comment>
    <comment ref="I22" authorId="1">
      <text>
        <r>
          <rPr>
            <sz val="10"/>
            <color indexed="81"/>
            <rFont val="Tahoma"/>
            <family val="2"/>
          </rPr>
          <t xml:space="preserve">ASUI
Campus Rec/SRC
Commons/Union
Athletics
Student Health
University Support Services
</t>
        </r>
      </text>
    </comment>
    <comment ref="K22" authorId="0">
      <text>
        <r>
          <rPr>
            <b/>
            <sz val="8"/>
            <color indexed="81"/>
            <rFont val="Tahoma"/>
            <family val="2"/>
          </rPr>
          <t>Trina Mahoney:</t>
        </r>
        <r>
          <rPr>
            <sz val="8"/>
            <color indexed="81"/>
            <rFont val="Tahoma"/>
            <family val="2"/>
          </rPr>
          <t xml:space="preserve">
See FY10 Sources and Uses - Inst Accts (U2 U3 U4 U5 U7 U8 D3 X2).xls</t>
        </r>
      </text>
    </comment>
    <comment ref="G23" authorId="0">
      <text>
        <r>
          <rPr>
            <b/>
            <sz val="8"/>
            <color indexed="81"/>
            <rFont val="Tahoma"/>
            <family val="2"/>
          </rPr>
          <t>Trina Mahoney:</t>
        </r>
        <r>
          <rPr>
            <sz val="8"/>
            <color indexed="81"/>
            <rFont val="Tahoma"/>
            <family val="2"/>
          </rPr>
          <t xml:space="preserve">
ARES - Put under Grants and Contracts since no longer part of board approved budget</t>
        </r>
      </text>
    </comment>
    <comment ref="L23" authorId="0">
      <text>
        <r>
          <rPr>
            <b/>
            <sz val="8"/>
            <color indexed="81"/>
            <rFont val="Tahoma"/>
            <family val="2"/>
          </rPr>
          <t>Trina Mahoney:</t>
        </r>
        <r>
          <rPr>
            <sz val="8"/>
            <color indexed="81"/>
            <rFont val="Tahoma"/>
            <family val="2"/>
          </rPr>
          <t xml:space="preserve">
ARES - Put under Grants and Contracts since no longer part of board approved budget</t>
        </r>
      </text>
    </comment>
    <comment ref="G30" authorId="0">
      <text>
        <r>
          <rPr>
            <b/>
            <sz val="8"/>
            <color indexed="81"/>
            <rFont val="Tahoma"/>
            <family val="2"/>
          </rPr>
          <t>Trina Mahoney:</t>
        </r>
        <r>
          <rPr>
            <sz val="8"/>
            <color indexed="81"/>
            <rFont val="Tahoma"/>
            <family val="2"/>
          </rPr>
          <t xml:space="preserve">
$50,000   Equine (ARES)
$100,000 IDFG (W.I.)
</t>
        </r>
      </text>
    </comment>
    <comment ref="G37" authorId="2">
      <text>
        <r>
          <rPr>
            <b/>
            <sz val="8"/>
            <color indexed="81"/>
            <rFont val="Tahoma"/>
            <family val="2"/>
          </rPr>
          <t>tmahoney:</t>
        </r>
        <r>
          <rPr>
            <sz val="8"/>
            <color indexed="81"/>
            <rFont val="Tahoma"/>
            <family val="2"/>
          </rPr>
          <t xml:space="preserve">
$1,739,700 WI
$3,775,300 WWAMI</t>
        </r>
      </text>
    </comment>
    <comment ref="G38" authorId="0">
      <text>
        <r>
          <rPr>
            <b/>
            <sz val="8"/>
            <color indexed="81"/>
            <rFont val="Tahoma"/>
            <family val="2"/>
          </rPr>
          <t>Trina Mahoney:</t>
        </r>
        <r>
          <rPr>
            <sz val="8"/>
            <color indexed="81"/>
            <rFont val="Tahoma"/>
            <family val="2"/>
          </rPr>
          <t xml:space="preserve">
$188,000 for ARES Misc Receipts is removed here, included in Inst Accts worksheet.
$1,566,214 + $629,720 for ARES Federal Appropriation is removed here, included in G &amp; C worksheet.</t>
        </r>
      </text>
    </comment>
    <comment ref="G39" authorId="0">
      <text>
        <r>
          <rPr>
            <b/>
            <sz val="8"/>
            <color indexed="81"/>
            <rFont val="Tahoma"/>
            <family val="2"/>
          </rPr>
          <t>Trina Mahoney:</t>
        </r>
        <r>
          <rPr>
            <sz val="8"/>
            <color indexed="81"/>
            <rFont val="Tahoma"/>
            <family val="2"/>
          </rPr>
          <t xml:space="preserve">
$1,900 for ARES Misc Receipts is removed here, included in Inst Accts worksheet.
$2,618,727 for ARES Federal Appropriation is removed here, included in G &amp; C worksheet.</t>
        </r>
      </text>
    </comment>
    <comment ref="E42" authorId="0">
      <text>
        <r>
          <rPr>
            <b/>
            <sz val="8"/>
            <color indexed="81"/>
            <rFont val="Tahoma"/>
            <family val="2"/>
          </rPr>
          <t>Trina Mahoney:</t>
        </r>
        <r>
          <rPr>
            <sz val="8"/>
            <color indexed="81"/>
            <rFont val="Tahoma"/>
            <family val="2"/>
          </rPr>
          <t xml:space="preserve">
Less $3,735,768 in M021F - Scholarships which is now on the Scholarships &amp; Fellowships line</t>
        </r>
      </text>
    </comment>
    <comment ref="E45" authorId="0">
      <text>
        <r>
          <rPr>
            <b/>
            <sz val="8"/>
            <color indexed="81"/>
            <rFont val="Tahoma"/>
            <family val="2"/>
          </rPr>
          <t>Trina Mahoney:</t>
        </r>
        <r>
          <rPr>
            <sz val="8"/>
            <color indexed="81"/>
            <rFont val="Tahoma"/>
            <family val="2"/>
          </rPr>
          <t xml:space="preserve">
M021F Rolls to 06 - Student Services, but should be report on Schol/Fellow line since it is scholarship funding.</t>
        </r>
      </text>
    </comment>
    <comment ref="E49" authorId="0">
      <text>
        <r>
          <rPr>
            <b/>
            <sz val="8"/>
            <color indexed="81"/>
            <rFont val="Tahoma"/>
            <family val="2"/>
          </rPr>
          <t>Trina Mahoney:</t>
        </r>
        <r>
          <rPr>
            <sz val="8"/>
            <color indexed="81"/>
            <rFont val="Tahoma"/>
            <family val="2"/>
          </rPr>
          <t xml:space="preserve">
$10,000,000 UI Dairy</t>
        </r>
      </text>
    </comment>
    <comment ref="E57" authorId="0">
      <text>
        <r>
          <rPr>
            <b/>
            <sz val="8"/>
            <color indexed="81"/>
            <rFont val="Tahoma"/>
            <family val="2"/>
          </rPr>
          <t>Trina Mahoney:</t>
        </r>
        <r>
          <rPr>
            <sz val="8"/>
            <color indexed="81"/>
            <rFont val="Tahoma"/>
            <family val="2"/>
          </rPr>
          <t xml:space="preserve">
Per Gen Ed Budget Book</t>
        </r>
      </text>
    </comment>
    <comment ref="G57" authorId="0">
      <text>
        <r>
          <rPr>
            <b/>
            <sz val="8"/>
            <color indexed="81"/>
            <rFont val="Tahoma"/>
            <family val="2"/>
          </rPr>
          <t>Trina Mahoney:</t>
        </r>
        <r>
          <rPr>
            <sz val="8"/>
            <color indexed="81"/>
            <rFont val="Tahoma"/>
            <family val="2"/>
          </rPr>
          <t xml:space="preserve">
Per Special Programs Budget Book
Remove FTE for ARES:
Fed = 16.22% of funding so move .1662 * 353.7 or 57.37 to G &amp; C column
Misc = 0.63% of funding so move .0063 * 353.7 or 2.23 to Inst Accts column</t>
        </r>
      </text>
    </comment>
    <comment ref="I57" authorId="0">
      <text>
        <r>
          <rPr>
            <b/>
            <sz val="8"/>
            <color indexed="81"/>
            <rFont val="Tahoma"/>
            <family val="2"/>
          </rPr>
          <t>Trina Mahoney:</t>
        </r>
        <r>
          <rPr>
            <sz val="8"/>
            <color indexed="81"/>
            <rFont val="Tahoma"/>
            <family val="2"/>
          </rPr>
          <t xml:space="preserve">
Per NWRSAET in budget book</t>
        </r>
      </text>
    </comment>
    <comment ref="K57" authorId="0">
      <text>
        <r>
          <rPr>
            <b/>
            <sz val="8"/>
            <color indexed="81"/>
            <rFont val="Tahoma"/>
            <family val="2"/>
          </rPr>
          <t>Trina Mahoney:</t>
        </r>
        <r>
          <rPr>
            <sz val="8"/>
            <color indexed="81"/>
            <rFont val="Tahoma"/>
            <family val="2"/>
          </rPr>
          <t xml:space="preserve">
Per Budget Book for U2, U3, U7. Per NWRSAET for all other funds</t>
        </r>
      </text>
    </comment>
    <comment ref="L57" authorId="0">
      <text>
        <r>
          <rPr>
            <b/>
            <sz val="8"/>
            <color indexed="81"/>
            <rFont val="Tahoma"/>
            <family val="2"/>
          </rPr>
          <t>Trina Mahoney:</t>
        </r>
        <r>
          <rPr>
            <sz val="8"/>
            <color indexed="81"/>
            <rFont val="Tahoma"/>
            <family val="2"/>
          </rPr>
          <t xml:space="preserve">
53.94 from ARES plus 8.72 for D4 per NWRSAET</t>
        </r>
      </text>
    </comment>
  </commentList>
</comments>
</file>

<file path=xl/sharedStrings.xml><?xml version="1.0" encoding="utf-8"?>
<sst xmlns="http://schemas.openxmlformats.org/spreadsheetml/2006/main" count="470" uniqueCount="117">
  <si>
    <t>College &amp; Universities Summary</t>
  </si>
  <si>
    <t>Summary of Sources and Uses of Funds</t>
  </si>
  <si>
    <t>Incr/(Decr) to Balance</t>
  </si>
  <si>
    <t>Employee FTE</t>
  </si>
  <si>
    <t>Boise State University</t>
  </si>
  <si>
    <t>Idaho State University</t>
  </si>
  <si>
    <t>University of Idaho</t>
  </si>
  <si>
    <t>Lewis-Clark State College</t>
  </si>
  <si>
    <t xml:space="preserve"> </t>
  </si>
  <si>
    <t>State Appropriations</t>
  </si>
  <si>
    <t xml:space="preserve">  General Account</t>
  </si>
  <si>
    <t xml:space="preserve">  Endowment Funds</t>
  </si>
  <si>
    <t xml:space="preserve">  Student Fees</t>
  </si>
  <si>
    <t>Total Appropriations</t>
  </si>
  <si>
    <t>Other Student Fees</t>
  </si>
  <si>
    <t>Federal Approp</t>
  </si>
  <si>
    <t>Federal Grants &amp; Contracts</t>
  </si>
  <si>
    <t>State Grants &amp; Contracts</t>
  </si>
  <si>
    <t>Private Gifts, Grts &amp; Contr</t>
  </si>
  <si>
    <t>Sales &amp; Serv of Educ Act</t>
  </si>
  <si>
    <t>Sales &amp; Serv of Aux Ent</t>
  </si>
  <si>
    <t>Indirect Costs</t>
  </si>
  <si>
    <t>Other</t>
  </si>
  <si>
    <t>Total Revenue</t>
  </si>
  <si>
    <t>Instruction</t>
  </si>
  <si>
    <t>Research</t>
  </si>
  <si>
    <t>Public Service</t>
  </si>
  <si>
    <t>Academic Support</t>
  </si>
  <si>
    <t>Libraries</t>
  </si>
  <si>
    <t>Student Services</t>
  </si>
  <si>
    <t>Institutional Support</t>
  </si>
  <si>
    <t>Physical Plant</t>
  </si>
  <si>
    <t>Scholarships &amp; Fellowships</t>
  </si>
  <si>
    <t>Mandatory Transfers</t>
  </si>
  <si>
    <t>Total Uses</t>
  </si>
  <si>
    <t xml:space="preserve">       column not the auxiliary enterprise column.  </t>
  </si>
  <si>
    <t xml:space="preserve">  Total Appropriations</t>
  </si>
  <si>
    <t>Other (Incl One-Time Funds)</t>
  </si>
  <si>
    <t>Other (One-Time)</t>
  </si>
  <si>
    <t>Operating Budgets</t>
  </si>
  <si>
    <t>Board Approved Budgets</t>
  </si>
  <si>
    <t>General</t>
  </si>
  <si>
    <t xml:space="preserve">  Education  </t>
  </si>
  <si>
    <t>Special</t>
  </si>
  <si>
    <t xml:space="preserve">  Programs  </t>
  </si>
  <si>
    <t>Auxiliary</t>
  </si>
  <si>
    <t xml:space="preserve">  Enter.   1)</t>
  </si>
  <si>
    <t>Estimated Budgets</t>
  </si>
  <si>
    <t>Instit</t>
  </si>
  <si>
    <t>Accounts</t>
  </si>
  <si>
    <t>Grants &amp;</t>
  </si>
  <si>
    <t>Contracts</t>
  </si>
  <si>
    <t>Total</t>
  </si>
  <si>
    <t>Operating</t>
  </si>
  <si>
    <t>Budgets</t>
  </si>
  <si>
    <t>Other-Incl One-Time</t>
  </si>
  <si>
    <t>State Funds</t>
  </si>
  <si>
    <t>Endowment Funds</t>
  </si>
  <si>
    <t>Student Fee Revenue</t>
  </si>
  <si>
    <t>Federal Funds</t>
  </si>
  <si>
    <t>Aux Ent &amp; Generated Fds</t>
  </si>
  <si>
    <t>1)   The General Education program supports intercollegiate athletics, which is an auxiliary enterprise.  General Education support for athletics</t>
  </si>
  <si>
    <t xml:space="preserve">       is reported in the General Education column, not the auxiliary enterprise column.  </t>
  </si>
  <si>
    <t>2)   Includes Federal Direct Student Loan funds.</t>
  </si>
  <si>
    <t>CEO Approved</t>
  </si>
  <si>
    <t>%</t>
  </si>
  <si>
    <t>FY 2001</t>
  </si>
  <si>
    <t>FY 2002</t>
  </si>
  <si>
    <t>FY 2003</t>
  </si>
  <si>
    <t>FY 2004</t>
  </si>
  <si>
    <t>FY 2005</t>
  </si>
  <si>
    <t>General Appropriations</t>
  </si>
  <si>
    <t>Student Fees</t>
  </si>
  <si>
    <t>Auxiliary Enterprises</t>
  </si>
  <si>
    <t xml:space="preserve">Auxiliary Enterprises      (1)      </t>
  </si>
  <si>
    <t>(1)   General Education program supports intercollegiate athletics which is an auxiliary enterprise and reported in the General Education</t>
  </si>
  <si>
    <t>(2)  Includes Federal Direct Student Loan funds</t>
  </si>
  <si>
    <t>Auxiliary Enterprises      (1)</t>
  </si>
  <si>
    <t xml:space="preserve">(1)  General Education program supports intercollegiate athletics which is an auxiliary enterprise and reported in the General Education </t>
  </si>
  <si>
    <r>
      <t xml:space="preserve">(1) </t>
    </r>
    <r>
      <rPr>
        <sz val="12"/>
        <color indexed="8"/>
        <rFont val="Arial"/>
        <family val="2"/>
      </rPr>
      <t xml:space="preserve">General Education program supports intercollegiate athletics which is an auxiliary enterprise and reported in the General Education </t>
    </r>
  </si>
  <si>
    <t xml:space="preserve"> (1)  General Education program supports intercollegiate athletics which is an auxiliary enterprise and reported in the General Education </t>
  </si>
  <si>
    <t xml:space="preserve"> (2)  Auxiliary Enterprises includes University of Idaho's Kibbie Dome operations</t>
  </si>
  <si>
    <t xml:space="preserve">  Enter.   (1)</t>
  </si>
  <si>
    <t>Auxiliary Enterprises   (1) &amp; (2)</t>
  </si>
  <si>
    <t>FY 2006</t>
  </si>
  <si>
    <t>One-time Replacement Capital</t>
  </si>
  <si>
    <t>FY 2007</t>
  </si>
  <si>
    <t>One-time Expenditures</t>
  </si>
  <si>
    <t>One-time Funds</t>
  </si>
  <si>
    <t>One-Time Funds</t>
  </si>
  <si>
    <t>SOURCES OF FUNDS:</t>
  </si>
  <si>
    <t>USES OF FUNDS:</t>
  </si>
  <si>
    <t>A</t>
  </si>
  <si>
    <t>B</t>
  </si>
  <si>
    <t>C</t>
  </si>
  <si>
    <t>D</t>
  </si>
  <si>
    <t>E</t>
  </si>
  <si>
    <t>F</t>
  </si>
  <si>
    <t>G</t>
  </si>
  <si>
    <t>H</t>
  </si>
  <si>
    <t>of</t>
  </si>
  <si>
    <t>3)  Auxiliary Enterprises includes Kibbie Dome operations and the Student Recreation Center.</t>
  </si>
  <si>
    <t>Auxiliary Enterprises (1) &amp; (3)</t>
  </si>
  <si>
    <t xml:space="preserve"> (3)  Includes Federal Direct Student Loan funds </t>
  </si>
  <si>
    <t>Auxiliary Enterprises   (1) &amp; (3)</t>
  </si>
  <si>
    <t>(3)</t>
  </si>
  <si>
    <t>FY 2008</t>
  </si>
  <si>
    <t>Professional-
Technical</t>
  </si>
  <si>
    <t xml:space="preserve">  General Acct - One time funds</t>
  </si>
  <si>
    <t xml:space="preserve">  Student Fees/Other - One time</t>
  </si>
  <si>
    <t>FY 2009</t>
  </si>
  <si>
    <t xml:space="preserve">Student Fee Revenue: </t>
  </si>
  <si>
    <t>Institutional</t>
  </si>
  <si>
    <t>General Revenue</t>
  </si>
  <si>
    <t>Fiscal Year 2010</t>
  </si>
  <si>
    <t xml:space="preserve">  ARRA Stimulus Funds</t>
  </si>
  <si>
    <t>Unexpended Plant - Research Dairy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</si>
</sst>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164" formatCode="#,##0.000000"/>
    <numFmt numFmtId="165" formatCode="0.0%"/>
    <numFmt numFmtId="166" formatCode="&quot;$&quot;#,##0"/>
  </numFmts>
  <fonts count="21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vertAlign val="superscript"/>
      <sz val="12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2"/>
      <color indexed="12"/>
      <name val="Garamond"/>
      <family val="1"/>
    </font>
    <font>
      <sz val="12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7">
    <xf numFmtId="0" fontId="0" fillId="0" borderId="0" xfId="0"/>
    <xf numFmtId="3" fontId="1" fillId="0" borderId="0" xfId="0" applyNumberFormat="1" applyFont="1" applyAlignment="1"/>
    <xf numFmtId="3" fontId="2" fillId="0" borderId="0" xfId="0" applyNumberFormat="1" applyFont="1" applyAlignment="1"/>
    <xf numFmtId="3" fontId="3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centerContinuous"/>
    </xf>
    <xf numFmtId="3" fontId="2" fillId="0" borderId="1" xfId="0" applyNumberFormat="1" applyFont="1" applyBorder="1" applyAlignment="1">
      <alignment horizontal="centerContinuous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1" xfId="0" applyNumberFormat="1" applyFont="1" applyBorder="1" applyAlignment="1"/>
    <xf numFmtId="3" fontId="4" fillId="0" borderId="1" xfId="0" applyNumberFormat="1" applyFont="1" applyBorder="1" applyAlignment="1"/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/>
    <xf numFmtId="2" fontId="2" fillId="0" borderId="0" xfId="0" applyNumberFormat="1" applyFont="1" applyAlignment="1"/>
    <xf numFmtId="3" fontId="1" fillId="0" borderId="0" xfId="0" applyNumberFormat="1" applyFont="1" applyAlignment="1">
      <alignment horizontal="right"/>
    </xf>
    <xf numFmtId="4" fontId="1" fillId="0" borderId="0" xfId="0" applyNumberFormat="1" applyFont="1" applyAlignment="1"/>
    <xf numFmtId="3" fontId="1" fillId="0" borderId="1" xfId="0" applyNumberFormat="1" applyFont="1" applyBorder="1" applyAlignment="1"/>
    <xf numFmtId="3" fontId="1" fillId="0" borderId="2" xfId="0" applyNumberFormat="1" applyFont="1" applyBorder="1" applyAlignment="1"/>
    <xf numFmtId="4" fontId="1" fillId="0" borderId="0" xfId="0" applyNumberFormat="1" applyFont="1" applyAlignment="1">
      <alignment horizontal="right"/>
    </xf>
    <xf numFmtId="5" fontId="1" fillId="0" borderId="0" xfId="0" applyNumberFormat="1" applyFont="1" applyAlignment="1"/>
    <xf numFmtId="5" fontId="1" fillId="0" borderId="0" xfId="0" applyNumberFormat="1" applyFont="1" applyAlignment="1">
      <alignment horizontal="right"/>
    </xf>
    <xf numFmtId="5" fontId="1" fillId="0" borderId="1" xfId="0" applyNumberFormat="1" applyFont="1" applyBorder="1" applyAlignment="1"/>
    <xf numFmtId="37" fontId="1" fillId="0" borderId="0" xfId="0" applyNumberFormat="1" applyFont="1" applyAlignment="1"/>
    <xf numFmtId="37" fontId="1" fillId="0" borderId="0" xfId="0" applyNumberFormat="1" applyFont="1" applyAlignment="1">
      <alignment horizontal="right"/>
    </xf>
    <xf numFmtId="37" fontId="1" fillId="0" borderId="1" xfId="0" applyNumberFormat="1" applyFont="1" applyBorder="1" applyAlignment="1"/>
    <xf numFmtId="10" fontId="1" fillId="0" borderId="0" xfId="0" applyNumberFormat="1" applyFont="1" applyAlignment="1"/>
    <xf numFmtId="3" fontId="2" fillId="0" borderId="0" xfId="0" applyNumberFormat="1" applyFont="1" applyFill="1" applyAlignment="1">
      <alignment horizontal="centerContinuous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/>
    <xf numFmtId="37" fontId="5" fillId="0" borderId="0" xfId="0" applyNumberFormat="1" applyFont="1" applyFill="1" applyAlignment="1"/>
    <xf numFmtId="37" fontId="5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37" fontId="5" fillId="0" borderId="1" xfId="0" applyNumberFormat="1" applyFont="1" applyFill="1" applyBorder="1" applyAlignment="1"/>
    <xf numFmtId="37" fontId="5" fillId="0" borderId="2" xfId="0" applyNumberFormat="1" applyFont="1" applyFill="1" applyBorder="1" applyAlignment="1"/>
    <xf numFmtId="3" fontId="5" fillId="0" borderId="0" xfId="0" applyNumberFormat="1" applyFont="1" applyFill="1" applyAlignment="1"/>
    <xf numFmtId="4" fontId="5" fillId="0" borderId="0" xfId="0" applyNumberFormat="1" applyFont="1" applyFill="1" applyAlignment="1"/>
    <xf numFmtId="4" fontId="5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/>
    <xf numFmtId="3" fontId="6" fillId="0" borderId="1" xfId="0" applyNumberFormat="1" applyFont="1" applyBorder="1" applyAlignment="1"/>
    <xf numFmtId="3" fontId="6" fillId="0" borderId="0" xfId="0" applyNumberFormat="1" applyFont="1" applyAlignment="1"/>
    <xf numFmtId="3" fontId="6" fillId="0" borderId="2" xfId="0" applyNumberFormat="1" applyFont="1" applyBorder="1" applyAlignment="1"/>
    <xf numFmtId="3" fontId="5" fillId="0" borderId="0" xfId="0" applyNumberFormat="1" applyFont="1" applyAlignment="1"/>
    <xf numFmtId="3" fontId="5" fillId="0" borderId="1" xfId="0" applyNumberFormat="1" applyFont="1" applyBorder="1" applyAlignment="1"/>
    <xf numFmtId="3" fontId="5" fillId="0" borderId="2" xfId="0" applyNumberFormat="1" applyFont="1" applyBorder="1" applyAlignment="1"/>
    <xf numFmtId="4" fontId="5" fillId="0" borderId="0" xfId="0" applyNumberFormat="1" applyFont="1" applyAlignment="1"/>
    <xf numFmtId="5" fontId="4" fillId="0" borderId="0" xfId="0" applyNumberFormat="1" applyFont="1" applyAlignment="1"/>
    <xf numFmtId="5" fontId="5" fillId="0" borderId="0" xfId="0" applyNumberFormat="1" applyFont="1" applyAlignment="1"/>
    <xf numFmtId="5" fontId="4" fillId="0" borderId="1" xfId="0" applyNumberFormat="1" applyFont="1" applyBorder="1" applyAlignment="1"/>
    <xf numFmtId="5" fontId="5" fillId="0" borderId="1" xfId="0" applyNumberFormat="1" applyFont="1" applyBorder="1" applyAlignment="1"/>
    <xf numFmtId="37" fontId="4" fillId="0" borderId="0" xfId="0" applyNumberFormat="1" applyFont="1" applyAlignment="1"/>
    <xf numFmtId="37" fontId="5" fillId="0" borderId="0" xfId="0" applyNumberFormat="1" applyFont="1" applyAlignment="1"/>
    <xf numFmtId="5" fontId="6" fillId="0" borderId="0" xfId="0" applyNumberFormat="1" applyFont="1" applyAlignment="1"/>
    <xf numFmtId="5" fontId="6" fillId="0" borderId="1" xfId="0" applyNumberFormat="1" applyFont="1" applyBorder="1" applyAlignment="1"/>
    <xf numFmtId="37" fontId="6" fillId="0" borderId="0" xfId="0" applyNumberFormat="1" applyFont="1" applyAlignment="1"/>
    <xf numFmtId="37" fontId="7" fillId="0" borderId="0" xfId="0" quotePrefix="1" applyNumberFormat="1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Continuous"/>
    </xf>
    <xf numFmtId="3" fontId="2" fillId="0" borderId="3" xfId="0" applyNumberFormat="1" applyFont="1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5" xfId="0" applyNumberFormat="1" applyFont="1" applyBorder="1" applyAlignment="1"/>
    <xf numFmtId="3" fontId="2" fillId="0" borderId="5" xfId="0" applyNumberFormat="1" applyFont="1" applyBorder="1" applyAlignment="1"/>
    <xf numFmtId="165" fontId="1" fillId="0" borderId="0" xfId="0" applyNumberFormat="1" applyFont="1" applyAlignment="1"/>
    <xf numFmtId="165" fontId="1" fillId="0" borderId="4" xfId="0" applyNumberFormat="1" applyFont="1" applyBorder="1" applyAlignment="1"/>
    <xf numFmtId="3" fontId="2" fillId="0" borderId="0" xfId="0" applyNumberFormat="1" applyFont="1" applyBorder="1" applyAlignment="1"/>
    <xf numFmtId="165" fontId="5" fillId="0" borderId="4" xfId="0" applyNumberFormat="1" applyFont="1" applyBorder="1" applyAlignment="1"/>
    <xf numFmtId="3" fontId="8" fillId="0" borderId="0" xfId="0" applyNumberFormat="1" applyFont="1" applyAlignment="1"/>
    <xf numFmtId="2" fontId="1" fillId="0" borderId="0" xfId="0" applyNumberFormat="1" applyFont="1" applyAlignment="1"/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/>
    <xf numFmtId="5" fontId="9" fillId="0" borderId="0" xfId="0" applyNumberFormat="1" applyFont="1" applyAlignment="1"/>
    <xf numFmtId="37" fontId="9" fillId="0" borderId="0" xfId="0" applyNumberFormat="1" applyFont="1" applyAlignment="1"/>
    <xf numFmtId="3" fontId="9" fillId="0" borderId="1" xfId="0" applyNumberFormat="1" applyFont="1" applyBorder="1" applyAlignment="1"/>
    <xf numFmtId="4" fontId="9" fillId="0" borderId="0" xfId="0" applyNumberFormat="1" applyFont="1" applyAlignment="1"/>
    <xf numFmtId="3" fontId="9" fillId="0" borderId="0" xfId="0" applyNumberFormat="1" applyFont="1" applyAlignment="1"/>
    <xf numFmtId="37" fontId="9" fillId="0" borderId="0" xfId="0" applyNumberFormat="1" applyFont="1" applyFill="1" applyAlignment="1"/>
    <xf numFmtId="37" fontId="9" fillId="0" borderId="0" xfId="0" applyNumberFormat="1" applyFont="1" applyFill="1" applyAlignment="1">
      <alignment horizontal="right"/>
    </xf>
    <xf numFmtId="5" fontId="9" fillId="0" borderId="0" xfId="0" applyNumberFormat="1" applyFont="1" applyFill="1" applyAlignment="1"/>
    <xf numFmtId="5" fontId="9" fillId="0" borderId="0" xfId="0" applyNumberFormat="1" applyFont="1" applyFill="1" applyAlignment="1">
      <alignment horizontal="right"/>
    </xf>
    <xf numFmtId="3" fontId="10" fillId="0" borderId="0" xfId="0" applyNumberFormat="1" applyFont="1" applyAlignment="1">
      <alignment horizontal="centerContinuous"/>
    </xf>
    <xf numFmtId="3" fontId="11" fillId="0" borderId="0" xfId="0" applyNumberFormat="1" applyFont="1" applyAlignment="1">
      <alignment horizontal="centerContinuous"/>
    </xf>
    <xf numFmtId="5" fontId="1" fillId="0" borderId="0" xfId="0" applyNumberFormat="1" applyFont="1" applyBorder="1" applyAlignment="1"/>
    <xf numFmtId="37" fontId="1" fillId="0" borderId="0" xfId="0" applyNumberFormat="1" applyFont="1" applyBorder="1" applyAlignment="1"/>
    <xf numFmtId="3" fontId="1" fillId="0" borderId="0" xfId="0" applyNumberFormat="1" applyFont="1" applyBorder="1" applyAlignment="1"/>
    <xf numFmtId="4" fontId="1" fillId="0" borderId="0" xfId="0" applyNumberFormat="1" applyFont="1" applyBorder="1" applyAlignment="1"/>
    <xf numFmtId="3" fontId="2" fillId="0" borderId="0" xfId="0" applyNumberFormat="1" applyFont="1" applyFill="1" applyBorder="1" applyAlignment="1"/>
    <xf numFmtId="0" fontId="0" fillId="0" borderId="3" xfId="0" applyBorder="1" applyAlignment="1">
      <alignment horizontal="center"/>
    </xf>
    <xf numFmtId="3" fontId="0" fillId="0" borderId="0" xfId="0" applyNumberFormat="1" applyBorder="1"/>
    <xf numFmtId="3" fontId="0" fillId="0" borderId="0" xfId="0" applyNumberFormat="1"/>
    <xf numFmtId="3" fontId="0" fillId="0" borderId="4" xfId="0" applyNumberFormat="1" applyBorder="1"/>
    <xf numFmtId="0" fontId="0" fillId="0" borderId="0" xfId="0" applyBorder="1"/>
    <xf numFmtId="37" fontId="1" fillId="0" borderId="0" xfId="0" quotePrefix="1" applyNumberFormat="1" applyFont="1" applyAlignment="1"/>
    <xf numFmtId="165" fontId="2" fillId="0" borderId="0" xfId="0" applyNumberFormat="1" applyFont="1" applyAlignment="1"/>
    <xf numFmtId="0" fontId="0" fillId="0" borderId="0" xfId="0" applyFill="1" applyBorder="1" applyAlignment="1">
      <alignment horizontal="center"/>
    </xf>
    <xf numFmtId="3" fontId="12" fillId="0" borderId="0" xfId="0" applyNumberFormat="1" applyFont="1" applyAlignment="1"/>
    <xf numFmtId="3" fontId="6" fillId="0" borderId="0" xfId="0" applyNumberFormat="1" applyFont="1" applyBorder="1"/>
    <xf numFmtId="3" fontId="6" fillId="0" borderId="0" xfId="0" applyNumberFormat="1" applyFont="1"/>
    <xf numFmtId="3" fontId="2" fillId="0" borderId="3" xfId="0" applyNumberFormat="1" applyFont="1" applyBorder="1" applyAlignment="1"/>
    <xf numFmtId="3" fontId="13" fillId="0" borderId="0" xfId="0" applyNumberFormat="1" applyFont="1" applyAlignment="1"/>
    <xf numFmtId="3" fontId="1" fillId="0" borderId="6" xfId="0" applyNumberFormat="1" applyFont="1" applyBorder="1" applyAlignment="1">
      <alignment horizontal="right"/>
    </xf>
    <xf numFmtId="3" fontId="2" fillId="0" borderId="6" xfId="0" applyNumberFormat="1" applyFont="1" applyBorder="1" applyAlignment="1"/>
    <xf numFmtId="37" fontId="1" fillId="0" borderId="6" xfId="0" applyNumberFormat="1" applyFont="1" applyBorder="1" applyAlignment="1"/>
    <xf numFmtId="3" fontId="1" fillId="0" borderId="0" xfId="0" applyNumberFormat="1" applyFont="1" applyBorder="1" applyAlignment="1">
      <alignment horizontal="right"/>
    </xf>
    <xf numFmtId="3" fontId="13" fillId="0" borderId="0" xfId="0" applyNumberFormat="1" applyFont="1" applyAlignment="1">
      <alignment horizontal="center"/>
    </xf>
    <xf numFmtId="3" fontId="13" fillId="0" borderId="0" xfId="0" applyNumberFormat="1" applyFont="1" applyBorder="1" applyAlignment="1">
      <alignment horizontal="center"/>
    </xf>
    <xf numFmtId="166" fontId="16" fillId="0" borderId="0" xfId="0" applyNumberFormat="1" applyFont="1" applyAlignment="1"/>
    <xf numFmtId="3" fontId="16" fillId="0" borderId="0" xfId="0" applyNumberFormat="1" applyFont="1" applyAlignment="1"/>
    <xf numFmtId="166" fontId="17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3" fontId="17" fillId="0" borderId="0" xfId="0" applyNumberFormat="1" applyFont="1"/>
    <xf numFmtId="4" fontId="16" fillId="0" borderId="0" xfId="0" applyNumberFormat="1" applyFont="1" applyAlignment="1"/>
    <xf numFmtId="4" fontId="9" fillId="0" borderId="0" xfId="0" applyNumberFormat="1" applyFont="1" applyFill="1" applyAlignment="1"/>
    <xf numFmtId="165" fontId="0" fillId="0" borderId="0" xfId="0" applyNumberFormat="1" applyBorder="1"/>
    <xf numFmtId="165" fontId="0" fillId="0" borderId="4" xfId="0" applyNumberFormat="1" applyBorder="1"/>
    <xf numFmtId="165" fontId="0" fillId="0" borderId="0" xfId="0" applyNumberFormat="1"/>
    <xf numFmtId="3" fontId="2" fillId="0" borderId="1" xfId="0" applyNumberFormat="1" applyFont="1" applyBorder="1" applyAlignment="1">
      <alignment horizontal="center" wrapText="1"/>
    </xf>
    <xf numFmtId="166" fontId="6" fillId="0" borderId="0" xfId="0" applyNumberFormat="1" applyFont="1" applyAlignment="1"/>
    <xf numFmtId="3" fontId="6" fillId="0" borderId="0" xfId="0" applyNumberFormat="1" applyFont="1" applyFill="1" applyAlignment="1"/>
    <xf numFmtId="164" fontId="6" fillId="0" borderId="0" xfId="0" applyNumberFormat="1" applyFont="1" applyAlignment="1"/>
    <xf numFmtId="4" fontId="6" fillId="0" borderId="0" xfId="0" applyNumberFormat="1" applyFont="1" applyAlignment="1"/>
    <xf numFmtId="4" fontId="6" fillId="0" borderId="0" xfId="0" applyNumberFormat="1" applyFont="1" applyFill="1" applyAlignment="1"/>
    <xf numFmtId="10" fontId="2" fillId="0" borderId="0" xfId="0" applyNumberFormat="1" applyFont="1" applyAlignment="1"/>
    <xf numFmtId="37" fontId="1" fillId="0" borderId="6" xfId="0" applyNumberFormat="1" applyFont="1" applyFill="1" applyBorder="1" applyAlignment="1"/>
    <xf numFmtId="165" fontId="1" fillId="0" borderId="0" xfId="0" applyNumberFormat="1" applyFont="1" applyFill="1" applyAlignment="1"/>
    <xf numFmtId="165" fontId="1" fillId="0" borderId="4" xfId="0" applyNumberFormat="1" applyFont="1" applyFill="1" applyBorder="1" applyAlignment="1"/>
    <xf numFmtId="37" fontId="5" fillId="0" borderId="2" xfId="0" applyNumberFormat="1" applyFont="1" applyFill="1" applyBorder="1" applyAlignment="1">
      <alignment horizontal="center"/>
    </xf>
    <xf numFmtId="3" fontId="2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State of Idaho</a:t>
            </a:r>
          </a:p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College and Universities</a:t>
            </a:r>
          </a:p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All Funds Revenues</a:t>
            </a:r>
          </a:p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FY 2003-2009</a:t>
            </a:r>
          </a:p>
        </c:rich>
      </c:tx>
      <c:layout>
        <c:manualLayout>
          <c:xMode val="edge"/>
          <c:yMode val="edge"/>
          <c:x val="0.34979013652705176"/>
          <c:y val="0.0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504207068285043"/>
          <c:y val="0.31200000000000017"/>
          <c:w val="0.68697514226584189"/>
          <c:h val="0.6060000000000003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'Chart Data $'!$A$2</c:f>
              <c:strCache>
                <c:ptCount val="1"/>
                <c:pt idx="0">
                  <c:v>General Appropriations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$'!$D$1:$J$1</c:f>
              <c:strCache>
                <c:ptCount val="7"/>
                <c:pt idx="0">
                  <c:v>FY 2003</c:v>
                </c:pt>
                <c:pt idx="1">
                  <c:v>FY 2004</c:v>
                </c:pt>
                <c:pt idx="2">
                  <c:v>FY 2005</c:v>
                </c:pt>
                <c:pt idx="3">
                  <c:v>FY 2006</c:v>
                </c:pt>
                <c:pt idx="4">
                  <c:v>FY 2007</c:v>
                </c:pt>
                <c:pt idx="5">
                  <c:v>FY 2008</c:v>
                </c:pt>
                <c:pt idx="6">
                  <c:v>FY 2009</c:v>
                </c:pt>
              </c:strCache>
            </c:strRef>
          </c:cat>
          <c:val>
            <c:numRef>
              <c:f>'Chart Data $'!$D$2:$J$2</c:f>
              <c:numCache>
                <c:formatCode>#,##0</c:formatCode>
                <c:ptCount val="7"/>
                <c:pt idx="0">
                  <c:v>259752769</c:v>
                </c:pt>
                <c:pt idx="1">
                  <c:v>265294531</c:v>
                </c:pt>
                <c:pt idx="2">
                  <c:v>272448581</c:v>
                </c:pt>
                <c:pt idx="3">
                  <c:v>279528229</c:v>
                </c:pt>
                <c:pt idx="4">
                  <c:v>296920896</c:v>
                </c:pt>
                <c:pt idx="5">
                  <c:v>314296445</c:v>
                </c:pt>
                <c:pt idx="6">
                  <c:v>327805627</c:v>
                </c:pt>
              </c:numCache>
            </c:numRef>
          </c:val>
        </c:ser>
        <c:ser>
          <c:idx val="1"/>
          <c:order val="1"/>
          <c:tx>
            <c:strRef>
              <c:f>'Chart Data $'!$A$3</c:f>
              <c:strCache>
                <c:ptCount val="1"/>
                <c:pt idx="0">
                  <c:v>Federal Grants &amp; Contracts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$'!$D$1:$J$1</c:f>
              <c:strCache>
                <c:ptCount val="7"/>
                <c:pt idx="0">
                  <c:v>FY 2003</c:v>
                </c:pt>
                <c:pt idx="1">
                  <c:v>FY 2004</c:v>
                </c:pt>
                <c:pt idx="2">
                  <c:v>FY 2005</c:v>
                </c:pt>
                <c:pt idx="3">
                  <c:v>FY 2006</c:v>
                </c:pt>
                <c:pt idx="4">
                  <c:v>FY 2007</c:v>
                </c:pt>
                <c:pt idx="5">
                  <c:v>FY 2008</c:v>
                </c:pt>
                <c:pt idx="6">
                  <c:v>FY 2009</c:v>
                </c:pt>
              </c:strCache>
            </c:strRef>
          </c:cat>
          <c:val>
            <c:numRef>
              <c:f>'Chart Data $'!$D$3:$J$3</c:f>
              <c:numCache>
                <c:formatCode>#,##0</c:formatCode>
                <c:ptCount val="7"/>
                <c:pt idx="0">
                  <c:v>178913318</c:v>
                </c:pt>
                <c:pt idx="1">
                  <c:v>202523068</c:v>
                </c:pt>
                <c:pt idx="2">
                  <c:v>228699250</c:v>
                </c:pt>
                <c:pt idx="3">
                  <c:v>235123059</c:v>
                </c:pt>
                <c:pt idx="4">
                  <c:v>233666485.53</c:v>
                </c:pt>
                <c:pt idx="5">
                  <c:v>248253778</c:v>
                </c:pt>
                <c:pt idx="6">
                  <c:v>301705636</c:v>
                </c:pt>
              </c:numCache>
            </c:numRef>
          </c:val>
        </c:ser>
        <c:ser>
          <c:idx val="2"/>
          <c:order val="2"/>
          <c:tx>
            <c:strRef>
              <c:f>'Chart Data $'!$A$4</c:f>
              <c:strCache>
                <c:ptCount val="1"/>
                <c:pt idx="0">
                  <c:v>Student Fees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$'!$D$1:$J$1</c:f>
              <c:strCache>
                <c:ptCount val="7"/>
                <c:pt idx="0">
                  <c:v>FY 2003</c:v>
                </c:pt>
                <c:pt idx="1">
                  <c:v>FY 2004</c:v>
                </c:pt>
                <c:pt idx="2">
                  <c:v>FY 2005</c:v>
                </c:pt>
                <c:pt idx="3">
                  <c:v>FY 2006</c:v>
                </c:pt>
                <c:pt idx="4">
                  <c:v>FY 2007</c:v>
                </c:pt>
                <c:pt idx="5">
                  <c:v>FY 2008</c:v>
                </c:pt>
                <c:pt idx="6">
                  <c:v>FY 2009</c:v>
                </c:pt>
              </c:strCache>
            </c:strRef>
          </c:cat>
          <c:val>
            <c:numRef>
              <c:f>'Chart Data $'!$D$4:$J$4</c:f>
              <c:numCache>
                <c:formatCode>#,##0</c:formatCode>
                <c:ptCount val="7"/>
                <c:pt idx="0">
                  <c:v>82205720</c:v>
                </c:pt>
                <c:pt idx="1">
                  <c:v>97183448</c:v>
                </c:pt>
                <c:pt idx="2">
                  <c:v>108825988</c:v>
                </c:pt>
                <c:pt idx="3">
                  <c:v>119816276</c:v>
                </c:pt>
                <c:pt idx="4">
                  <c:v>125411912</c:v>
                </c:pt>
                <c:pt idx="5">
                  <c:v>127109732</c:v>
                </c:pt>
                <c:pt idx="6">
                  <c:v>137204537</c:v>
                </c:pt>
              </c:numCache>
            </c:numRef>
          </c:val>
        </c:ser>
        <c:ser>
          <c:idx val="3"/>
          <c:order val="3"/>
          <c:tx>
            <c:strRef>
              <c:f>'Chart Data $'!$A$5</c:f>
              <c:strCache>
                <c:ptCount val="1"/>
                <c:pt idx="0">
                  <c:v>Sales &amp; Serv of Aux Ent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$'!$D$1:$J$1</c:f>
              <c:strCache>
                <c:ptCount val="7"/>
                <c:pt idx="0">
                  <c:v>FY 2003</c:v>
                </c:pt>
                <c:pt idx="1">
                  <c:v>FY 2004</c:v>
                </c:pt>
                <c:pt idx="2">
                  <c:v>FY 2005</c:v>
                </c:pt>
                <c:pt idx="3">
                  <c:v>FY 2006</c:v>
                </c:pt>
                <c:pt idx="4">
                  <c:v>FY 2007</c:v>
                </c:pt>
                <c:pt idx="5">
                  <c:v>FY 2008</c:v>
                </c:pt>
                <c:pt idx="6">
                  <c:v>FY 2009</c:v>
                </c:pt>
              </c:strCache>
            </c:strRef>
          </c:cat>
          <c:val>
            <c:numRef>
              <c:f>'Chart Data $'!$D$5:$J$5</c:f>
              <c:numCache>
                <c:formatCode>#,##0</c:formatCode>
                <c:ptCount val="7"/>
                <c:pt idx="0">
                  <c:v>77991479</c:v>
                </c:pt>
                <c:pt idx="1">
                  <c:v>80666240</c:v>
                </c:pt>
                <c:pt idx="2">
                  <c:v>89412979</c:v>
                </c:pt>
                <c:pt idx="3">
                  <c:v>95170625</c:v>
                </c:pt>
                <c:pt idx="4">
                  <c:v>94717922</c:v>
                </c:pt>
                <c:pt idx="5">
                  <c:v>100955358</c:v>
                </c:pt>
                <c:pt idx="6">
                  <c:v>116389676</c:v>
                </c:pt>
              </c:numCache>
            </c:numRef>
          </c:val>
        </c:ser>
        <c:ser>
          <c:idx val="4"/>
          <c:order val="4"/>
          <c:tx>
            <c:strRef>
              <c:f>'Chart Data $'!$A$6</c:f>
              <c:strCache>
                <c:ptCount val="1"/>
                <c:pt idx="0">
                  <c:v>Other Student Fees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$'!$D$1:$J$1</c:f>
              <c:strCache>
                <c:ptCount val="7"/>
                <c:pt idx="0">
                  <c:v>FY 2003</c:v>
                </c:pt>
                <c:pt idx="1">
                  <c:v>FY 2004</c:v>
                </c:pt>
                <c:pt idx="2">
                  <c:v>FY 2005</c:v>
                </c:pt>
                <c:pt idx="3">
                  <c:v>FY 2006</c:v>
                </c:pt>
                <c:pt idx="4">
                  <c:v>FY 2007</c:v>
                </c:pt>
                <c:pt idx="5">
                  <c:v>FY 2008</c:v>
                </c:pt>
                <c:pt idx="6">
                  <c:v>FY 2009</c:v>
                </c:pt>
              </c:strCache>
            </c:strRef>
          </c:cat>
          <c:val>
            <c:numRef>
              <c:f>'Chart Data $'!$D$6:$J$6</c:f>
              <c:numCache>
                <c:formatCode>#,##0</c:formatCode>
                <c:ptCount val="7"/>
                <c:pt idx="0">
                  <c:v>49115959</c:v>
                </c:pt>
                <c:pt idx="1">
                  <c:v>51933422</c:v>
                </c:pt>
                <c:pt idx="2">
                  <c:v>52006853</c:v>
                </c:pt>
                <c:pt idx="3">
                  <c:v>49669497</c:v>
                </c:pt>
                <c:pt idx="4">
                  <c:v>60248455</c:v>
                </c:pt>
                <c:pt idx="5">
                  <c:v>53727411</c:v>
                </c:pt>
                <c:pt idx="6">
                  <c:v>69957467</c:v>
                </c:pt>
              </c:numCache>
            </c:numRef>
          </c:val>
        </c:ser>
        <c:ser>
          <c:idx val="5"/>
          <c:order val="5"/>
          <c:tx>
            <c:strRef>
              <c:f>'Chart Data $'!$A$7</c:f>
              <c:strCache>
                <c:ptCount val="1"/>
                <c:pt idx="0">
                  <c:v>Sales &amp; Serv of Educ Act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$'!$D$1:$J$1</c:f>
              <c:strCache>
                <c:ptCount val="7"/>
                <c:pt idx="0">
                  <c:v>FY 2003</c:v>
                </c:pt>
                <c:pt idx="1">
                  <c:v>FY 2004</c:v>
                </c:pt>
                <c:pt idx="2">
                  <c:v>FY 2005</c:v>
                </c:pt>
                <c:pt idx="3">
                  <c:v>FY 2006</c:v>
                </c:pt>
                <c:pt idx="4">
                  <c:v>FY 2007</c:v>
                </c:pt>
                <c:pt idx="5">
                  <c:v>FY 2008</c:v>
                </c:pt>
                <c:pt idx="6">
                  <c:v>FY 2009</c:v>
                </c:pt>
              </c:strCache>
            </c:strRef>
          </c:cat>
          <c:val>
            <c:numRef>
              <c:f>'Chart Data $'!$D$7:$J$7</c:f>
              <c:numCache>
                <c:formatCode>#,##0</c:formatCode>
                <c:ptCount val="7"/>
                <c:pt idx="0">
                  <c:v>42815556</c:v>
                </c:pt>
                <c:pt idx="1">
                  <c:v>41214167</c:v>
                </c:pt>
                <c:pt idx="2">
                  <c:v>40369744</c:v>
                </c:pt>
                <c:pt idx="3">
                  <c:v>41522693</c:v>
                </c:pt>
                <c:pt idx="4">
                  <c:v>41496881</c:v>
                </c:pt>
                <c:pt idx="5">
                  <c:v>53922434</c:v>
                </c:pt>
                <c:pt idx="6">
                  <c:v>37703456</c:v>
                </c:pt>
              </c:numCache>
            </c:numRef>
          </c:val>
        </c:ser>
        <c:ser>
          <c:idx val="6"/>
          <c:order val="6"/>
          <c:tx>
            <c:strRef>
              <c:f>'Chart Data $'!$A$8</c:f>
              <c:strCache>
                <c:ptCount val="1"/>
                <c:pt idx="0">
                  <c:v>Private Gifts, Grts &amp; Contr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$'!$D$1:$J$1</c:f>
              <c:strCache>
                <c:ptCount val="7"/>
                <c:pt idx="0">
                  <c:v>FY 2003</c:v>
                </c:pt>
                <c:pt idx="1">
                  <c:v>FY 2004</c:v>
                </c:pt>
                <c:pt idx="2">
                  <c:v>FY 2005</c:v>
                </c:pt>
                <c:pt idx="3">
                  <c:v>FY 2006</c:v>
                </c:pt>
                <c:pt idx="4">
                  <c:v>FY 2007</c:v>
                </c:pt>
                <c:pt idx="5">
                  <c:v>FY 2008</c:v>
                </c:pt>
                <c:pt idx="6">
                  <c:v>FY 2009</c:v>
                </c:pt>
              </c:strCache>
            </c:strRef>
          </c:cat>
          <c:val>
            <c:numRef>
              <c:f>'Chart Data $'!$D$8:$J$8</c:f>
              <c:numCache>
                <c:formatCode>#,##0</c:formatCode>
                <c:ptCount val="7"/>
                <c:pt idx="0">
                  <c:v>35616693</c:v>
                </c:pt>
                <c:pt idx="1">
                  <c:v>31506726</c:v>
                </c:pt>
                <c:pt idx="2">
                  <c:v>35258587</c:v>
                </c:pt>
                <c:pt idx="3">
                  <c:v>41039617</c:v>
                </c:pt>
                <c:pt idx="4">
                  <c:v>42875927.640000001</c:v>
                </c:pt>
                <c:pt idx="5">
                  <c:v>43797552</c:v>
                </c:pt>
                <c:pt idx="6">
                  <c:v>49478627</c:v>
                </c:pt>
              </c:numCache>
            </c:numRef>
          </c:val>
        </c:ser>
        <c:ser>
          <c:idx val="7"/>
          <c:order val="7"/>
          <c:tx>
            <c:strRef>
              <c:f>'Chart Data $'!$A$9</c:f>
              <c:strCache>
                <c:ptCount val="1"/>
                <c:pt idx="0">
                  <c:v>State Grants &amp; Contracts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$'!$D$1:$J$1</c:f>
              <c:strCache>
                <c:ptCount val="7"/>
                <c:pt idx="0">
                  <c:v>FY 2003</c:v>
                </c:pt>
                <c:pt idx="1">
                  <c:v>FY 2004</c:v>
                </c:pt>
                <c:pt idx="2">
                  <c:v>FY 2005</c:v>
                </c:pt>
                <c:pt idx="3">
                  <c:v>FY 2006</c:v>
                </c:pt>
                <c:pt idx="4">
                  <c:v>FY 2007</c:v>
                </c:pt>
                <c:pt idx="5">
                  <c:v>FY 2008</c:v>
                </c:pt>
                <c:pt idx="6">
                  <c:v>FY 2009</c:v>
                </c:pt>
              </c:strCache>
            </c:strRef>
          </c:cat>
          <c:val>
            <c:numRef>
              <c:f>'Chart Data $'!$D$9:$J$9</c:f>
              <c:numCache>
                <c:formatCode>#,##0</c:formatCode>
                <c:ptCount val="7"/>
                <c:pt idx="0">
                  <c:v>18708628</c:v>
                </c:pt>
                <c:pt idx="1">
                  <c:v>27032818</c:v>
                </c:pt>
                <c:pt idx="2">
                  <c:v>33309177</c:v>
                </c:pt>
                <c:pt idx="3">
                  <c:v>26981445</c:v>
                </c:pt>
                <c:pt idx="4">
                  <c:v>28005012.710000001</c:v>
                </c:pt>
                <c:pt idx="5">
                  <c:v>29078797</c:v>
                </c:pt>
                <c:pt idx="6">
                  <c:v>18879064</c:v>
                </c:pt>
              </c:numCache>
            </c:numRef>
          </c:val>
        </c:ser>
        <c:ser>
          <c:idx val="8"/>
          <c:order val="8"/>
          <c:tx>
            <c:strRef>
              <c:f>'Chart Data $'!$A$10</c:f>
              <c:strCache>
                <c:ptCount val="1"/>
                <c:pt idx="0">
                  <c:v>Indirect Costs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$'!$D$1:$J$1</c:f>
              <c:strCache>
                <c:ptCount val="7"/>
                <c:pt idx="0">
                  <c:v>FY 2003</c:v>
                </c:pt>
                <c:pt idx="1">
                  <c:v>FY 2004</c:v>
                </c:pt>
                <c:pt idx="2">
                  <c:v>FY 2005</c:v>
                </c:pt>
                <c:pt idx="3">
                  <c:v>FY 2006</c:v>
                </c:pt>
                <c:pt idx="4">
                  <c:v>FY 2007</c:v>
                </c:pt>
                <c:pt idx="5">
                  <c:v>FY 2008</c:v>
                </c:pt>
                <c:pt idx="6">
                  <c:v>FY 2009</c:v>
                </c:pt>
              </c:strCache>
            </c:strRef>
          </c:cat>
          <c:val>
            <c:numRef>
              <c:f>'Chart Data $'!$D$10:$J$10</c:f>
              <c:numCache>
                <c:formatCode>#,##0</c:formatCode>
                <c:ptCount val="7"/>
                <c:pt idx="0">
                  <c:v>8751975</c:v>
                </c:pt>
                <c:pt idx="1">
                  <c:v>12821860</c:v>
                </c:pt>
                <c:pt idx="2">
                  <c:v>14806379</c:v>
                </c:pt>
                <c:pt idx="3">
                  <c:v>14866709</c:v>
                </c:pt>
                <c:pt idx="4">
                  <c:v>16807325</c:v>
                </c:pt>
                <c:pt idx="5">
                  <c:v>17022432</c:v>
                </c:pt>
                <c:pt idx="6">
                  <c:v>16934905</c:v>
                </c:pt>
              </c:numCache>
            </c:numRef>
          </c:val>
        </c:ser>
        <c:ser>
          <c:idx val="9"/>
          <c:order val="9"/>
          <c:tx>
            <c:strRef>
              <c:f>'Chart Data $'!$A$11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$'!$D$1:$J$1</c:f>
              <c:strCache>
                <c:ptCount val="7"/>
                <c:pt idx="0">
                  <c:v>FY 2003</c:v>
                </c:pt>
                <c:pt idx="1">
                  <c:v>FY 2004</c:v>
                </c:pt>
                <c:pt idx="2">
                  <c:v>FY 2005</c:v>
                </c:pt>
                <c:pt idx="3">
                  <c:v>FY 2006</c:v>
                </c:pt>
                <c:pt idx="4">
                  <c:v>FY 2007</c:v>
                </c:pt>
                <c:pt idx="5">
                  <c:v>FY 2008</c:v>
                </c:pt>
                <c:pt idx="6">
                  <c:v>FY 2009</c:v>
                </c:pt>
              </c:strCache>
            </c:strRef>
          </c:cat>
          <c:val>
            <c:numRef>
              <c:f>'Chart Data $'!$D$11:$J$11</c:f>
              <c:numCache>
                <c:formatCode>#,##0</c:formatCode>
                <c:ptCount val="7"/>
                <c:pt idx="0">
                  <c:v>10749057</c:v>
                </c:pt>
                <c:pt idx="1">
                  <c:v>10864130</c:v>
                </c:pt>
                <c:pt idx="2">
                  <c:v>11187283</c:v>
                </c:pt>
                <c:pt idx="3">
                  <c:v>9270699</c:v>
                </c:pt>
                <c:pt idx="4">
                  <c:v>20173732</c:v>
                </c:pt>
                <c:pt idx="5">
                  <c:v>18696177</c:v>
                </c:pt>
                <c:pt idx="6">
                  <c:v>32068551</c:v>
                </c:pt>
              </c:numCache>
            </c:numRef>
          </c:val>
        </c:ser>
        <c:ser>
          <c:idx val="10"/>
          <c:order val="10"/>
          <c:tx>
            <c:strRef>
              <c:f>'Chart Data $'!$A$12</c:f>
              <c:strCache>
                <c:ptCount val="1"/>
                <c:pt idx="0">
                  <c:v>Endowment Funds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$'!$D$1:$J$1</c:f>
              <c:strCache>
                <c:ptCount val="7"/>
                <c:pt idx="0">
                  <c:v>FY 2003</c:v>
                </c:pt>
                <c:pt idx="1">
                  <c:v>FY 2004</c:v>
                </c:pt>
                <c:pt idx="2">
                  <c:v>FY 2005</c:v>
                </c:pt>
                <c:pt idx="3">
                  <c:v>FY 2006</c:v>
                </c:pt>
                <c:pt idx="4">
                  <c:v>FY 2007</c:v>
                </c:pt>
                <c:pt idx="5">
                  <c:v>FY 2008</c:v>
                </c:pt>
                <c:pt idx="6">
                  <c:v>FY 2009</c:v>
                </c:pt>
              </c:strCache>
            </c:strRef>
          </c:cat>
          <c:val>
            <c:numRef>
              <c:f>'Chart Data $'!$D$12:$J$12</c:f>
              <c:numCache>
                <c:formatCode>#,##0</c:formatCode>
                <c:ptCount val="7"/>
                <c:pt idx="0">
                  <c:v>13635900</c:v>
                </c:pt>
                <c:pt idx="1">
                  <c:v>11964700</c:v>
                </c:pt>
                <c:pt idx="2">
                  <c:v>10020500</c:v>
                </c:pt>
                <c:pt idx="3">
                  <c:v>9519600</c:v>
                </c:pt>
                <c:pt idx="4">
                  <c:v>7624800</c:v>
                </c:pt>
                <c:pt idx="5">
                  <c:v>7851500</c:v>
                </c:pt>
                <c:pt idx="6">
                  <c:v>9452100</c:v>
                </c:pt>
              </c:numCache>
            </c:numRef>
          </c:val>
        </c:ser>
        <c:ser>
          <c:idx val="11"/>
          <c:order val="11"/>
          <c:tx>
            <c:strRef>
              <c:f>'Chart Data $'!$A$13</c:f>
              <c:strCache>
                <c:ptCount val="1"/>
                <c:pt idx="0">
                  <c:v>Federal Approp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$'!$D$1:$J$1</c:f>
              <c:strCache>
                <c:ptCount val="7"/>
                <c:pt idx="0">
                  <c:v>FY 2003</c:v>
                </c:pt>
                <c:pt idx="1">
                  <c:v>FY 2004</c:v>
                </c:pt>
                <c:pt idx="2">
                  <c:v>FY 2005</c:v>
                </c:pt>
                <c:pt idx="3">
                  <c:v>FY 2006</c:v>
                </c:pt>
                <c:pt idx="4">
                  <c:v>FY 2007</c:v>
                </c:pt>
                <c:pt idx="5">
                  <c:v>FY 2008</c:v>
                </c:pt>
                <c:pt idx="6">
                  <c:v>FY 2009</c:v>
                </c:pt>
              </c:strCache>
            </c:strRef>
          </c:cat>
          <c:val>
            <c:numRef>
              <c:f>'Chart Data $'!$D$13:$J$13</c:f>
              <c:numCache>
                <c:formatCode>#,##0</c:formatCode>
                <c:ptCount val="7"/>
                <c:pt idx="0">
                  <c:v>4599500</c:v>
                </c:pt>
                <c:pt idx="1">
                  <c:v>4599500</c:v>
                </c:pt>
                <c:pt idx="2">
                  <c:v>4599500</c:v>
                </c:pt>
                <c:pt idx="3">
                  <c:v>4599500</c:v>
                </c:pt>
                <c:pt idx="4">
                  <c:v>4599500</c:v>
                </c:pt>
                <c:pt idx="5">
                  <c:v>4782000</c:v>
                </c:pt>
                <c:pt idx="6">
                  <c:v>4883700</c:v>
                </c:pt>
              </c:numCache>
            </c:numRef>
          </c:val>
        </c:ser>
        <c:ser>
          <c:idx val="12"/>
          <c:order val="12"/>
          <c:tx>
            <c:strRef>
              <c:f>'Chart Data $'!$A$14</c:f>
              <c:strCache>
                <c:ptCount val="1"/>
                <c:pt idx="0">
                  <c:v>One-time Funds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$'!$D$1:$J$1</c:f>
              <c:strCache>
                <c:ptCount val="7"/>
                <c:pt idx="0">
                  <c:v>FY 2003</c:v>
                </c:pt>
                <c:pt idx="1">
                  <c:v>FY 2004</c:v>
                </c:pt>
                <c:pt idx="2">
                  <c:v>FY 2005</c:v>
                </c:pt>
                <c:pt idx="3">
                  <c:v>FY 2006</c:v>
                </c:pt>
                <c:pt idx="4">
                  <c:v>FY 2007</c:v>
                </c:pt>
                <c:pt idx="5">
                  <c:v>FY 2008</c:v>
                </c:pt>
                <c:pt idx="6">
                  <c:v>FY 2009</c:v>
                </c:pt>
              </c:strCache>
            </c:strRef>
          </c:cat>
          <c:val>
            <c:numRef>
              <c:f>'Chart Data $'!$D$14:$J$14</c:f>
              <c:numCache>
                <c:formatCode>#,##0</c:formatCode>
                <c:ptCount val="7"/>
                <c:pt idx="3">
                  <c:v>5605383</c:v>
                </c:pt>
                <c:pt idx="4">
                  <c:v>4912300</c:v>
                </c:pt>
                <c:pt idx="5">
                  <c:v>3927600</c:v>
                </c:pt>
                <c:pt idx="6">
                  <c:v>4540283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575488"/>
        <c:axId val="80585472"/>
        <c:axId val="0"/>
      </c:bar3DChart>
      <c:catAx>
        <c:axId val="8057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58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585472"/>
        <c:scaling>
          <c:orientation val="minMax"/>
          <c:max val="9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5754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0357186969275896"/>
          <c:y val="0.37"/>
          <c:w val="0.99159719005712521"/>
          <c:h val="0.918000000000000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&amp;L&amp;"Arial,Bold"CONSENT AGENDA -BAHR - SECTION II&amp;R&amp;"Arial,Bold"TAB x  Page 8</c:oddFooter>
    </c:headerFooter>
    <c:pageMargins b="1" l="0.75000000000000033" r="0.75000000000000033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State of Idaho</a:t>
            </a:r>
          </a:p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College and Universities</a:t>
            </a:r>
            <a:endParaRPr lang="en-US" sz="2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All Funds Expenditures</a:t>
            </a:r>
          </a:p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FY 2003-2009</a:t>
            </a:r>
          </a:p>
        </c:rich>
      </c:tx>
      <c:layout>
        <c:manualLayout>
          <c:xMode val="edge"/>
          <c:yMode val="edge"/>
          <c:x val="0.34979013652705176"/>
          <c:y val="0.0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659669845796398"/>
          <c:y val="0.32200000000000017"/>
          <c:w val="0.67437009378390023"/>
          <c:h val="0.59599999999999997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'Chart Data $'!$A$17</c:f>
              <c:strCache>
                <c:ptCount val="1"/>
                <c:pt idx="0">
                  <c:v>Instruction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$'!$D$1:$J$1</c:f>
              <c:strCache>
                <c:ptCount val="7"/>
                <c:pt idx="0">
                  <c:v>FY 2003</c:v>
                </c:pt>
                <c:pt idx="1">
                  <c:v>FY 2004</c:v>
                </c:pt>
                <c:pt idx="2">
                  <c:v>FY 2005</c:v>
                </c:pt>
                <c:pt idx="3">
                  <c:v>FY 2006</c:v>
                </c:pt>
                <c:pt idx="4">
                  <c:v>FY 2007</c:v>
                </c:pt>
                <c:pt idx="5">
                  <c:v>FY 2008</c:v>
                </c:pt>
                <c:pt idx="6">
                  <c:v>FY 2009</c:v>
                </c:pt>
              </c:strCache>
            </c:strRef>
          </c:cat>
          <c:val>
            <c:numRef>
              <c:f>'Chart Data $'!$D$17:$J$17</c:f>
              <c:numCache>
                <c:formatCode>#,##0</c:formatCode>
                <c:ptCount val="7"/>
                <c:pt idx="0">
                  <c:v>240661809</c:v>
                </c:pt>
                <c:pt idx="1">
                  <c:v>249655901</c:v>
                </c:pt>
                <c:pt idx="2">
                  <c:v>260771739</c:v>
                </c:pt>
                <c:pt idx="3">
                  <c:v>266669177</c:v>
                </c:pt>
                <c:pt idx="4">
                  <c:v>287421565.52999997</c:v>
                </c:pt>
                <c:pt idx="5">
                  <c:v>295923196</c:v>
                </c:pt>
                <c:pt idx="6">
                  <c:v>302629972</c:v>
                </c:pt>
              </c:numCache>
            </c:numRef>
          </c:val>
        </c:ser>
        <c:ser>
          <c:idx val="1"/>
          <c:order val="1"/>
          <c:tx>
            <c:strRef>
              <c:f>'Chart Data $'!$A$18</c:f>
              <c:strCache>
                <c:ptCount val="1"/>
                <c:pt idx="0">
                  <c:v>Scholarships &amp; Fellowships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$'!$D$1:$J$1</c:f>
              <c:strCache>
                <c:ptCount val="7"/>
                <c:pt idx="0">
                  <c:v>FY 2003</c:v>
                </c:pt>
                <c:pt idx="1">
                  <c:v>FY 2004</c:v>
                </c:pt>
                <c:pt idx="2">
                  <c:v>FY 2005</c:v>
                </c:pt>
                <c:pt idx="3">
                  <c:v>FY 2006</c:v>
                </c:pt>
                <c:pt idx="4">
                  <c:v>FY 2007</c:v>
                </c:pt>
                <c:pt idx="5">
                  <c:v>FY 2008</c:v>
                </c:pt>
                <c:pt idx="6">
                  <c:v>FY 2009</c:v>
                </c:pt>
              </c:strCache>
            </c:strRef>
          </c:cat>
          <c:val>
            <c:numRef>
              <c:f>'Chart Data $'!$D$18:$J$18</c:f>
              <c:numCache>
                <c:formatCode>#,##0</c:formatCode>
                <c:ptCount val="7"/>
                <c:pt idx="0">
                  <c:v>142553439</c:v>
                </c:pt>
                <c:pt idx="1">
                  <c:v>152827088</c:v>
                </c:pt>
                <c:pt idx="2">
                  <c:v>164407479</c:v>
                </c:pt>
                <c:pt idx="3">
                  <c:v>170763376</c:v>
                </c:pt>
                <c:pt idx="4">
                  <c:v>163651500</c:v>
                </c:pt>
                <c:pt idx="5">
                  <c:v>169710847</c:v>
                </c:pt>
                <c:pt idx="6">
                  <c:v>229267194</c:v>
                </c:pt>
              </c:numCache>
            </c:numRef>
          </c:val>
        </c:ser>
        <c:ser>
          <c:idx val="2"/>
          <c:order val="2"/>
          <c:tx>
            <c:strRef>
              <c:f>'Chart Data $'!$A$19</c:f>
              <c:strCache>
                <c:ptCount val="1"/>
                <c:pt idx="0">
                  <c:v>Auxiliary Enterprises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$'!$D$1:$J$1</c:f>
              <c:strCache>
                <c:ptCount val="7"/>
                <c:pt idx="0">
                  <c:v>FY 2003</c:v>
                </c:pt>
                <c:pt idx="1">
                  <c:v>FY 2004</c:v>
                </c:pt>
                <c:pt idx="2">
                  <c:v>FY 2005</c:v>
                </c:pt>
                <c:pt idx="3">
                  <c:v>FY 2006</c:v>
                </c:pt>
                <c:pt idx="4">
                  <c:v>FY 2007</c:v>
                </c:pt>
                <c:pt idx="5">
                  <c:v>FY 2008</c:v>
                </c:pt>
                <c:pt idx="6">
                  <c:v>FY 2009</c:v>
                </c:pt>
              </c:strCache>
            </c:strRef>
          </c:cat>
          <c:val>
            <c:numRef>
              <c:f>'Chart Data $'!$D$19:$J$19</c:f>
              <c:numCache>
                <c:formatCode>#,##0</c:formatCode>
                <c:ptCount val="7"/>
                <c:pt idx="0">
                  <c:v>104131051</c:v>
                </c:pt>
                <c:pt idx="1">
                  <c:v>114611377</c:v>
                </c:pt>
                <c:pt idx="2">
                  <c:v>124022367</c:v>
                </c:pt>
                <c:pt idx="3">
                  <c:v>124290665</c:v>
                </c:pt>
                <c:pt idx="4">
                  <c:v>123868963.69</c:v>
                </c:pt>
                <c:pt idx="5">
                  <c:v>135638947</c:v>
                </c:pt>
                <c:pt idx="6">
                  <c:v>147822542</c:v>
                </c:pt>
              </c:numCache>
            </c:numRef>
          </c:val>
        </c:ser>
        <c:ser>
          <c:idx val="3"/>
          <c:order val="3"/>
          <c:tx>
            <c:strRef>
              <c:f>'Chart Data $'!$A$20</c:f>
              <c:strCache>
                <c:ptCount val="1"/>
                <c:pt idx="0">
                  <c:v>Research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$'!$D$1:$J$1</c:f>
              <c:strCache>
                <c:ptCount val="7"/>
                <c:pt idx="0">
                  <c:v>FY 2003</c:v>
                </c:pt>
                <c:pt idx="1">
                  <c:v>FY 2004</c:v>
                </c:pt>
                <c:pt idx="2">
                  <c:v>FY 2005</c:v>
                </c:pt>
                <c:pt idx="3">
                  <c:v>FY 2006</c:v>
                </c:pt>
                <c:pt idx="4">
                  <c:v>FY 2007</c:v>
                </c:pt>
                <c:pt idx="5">
                  <c:v>FY 2008</c:v>
                </c:pt>
                <c:pt idx="6">
                  <c:v>FY 2009</c:v>
                </c:pt>
              </c:strCache>
            </c:strRef>
          </c:cat>
          <c:val>
            <c:numRef>
              <c:f>'Chart Data $'!$D$20:$J$20</c:f>
              <c:numCache>
                <c:formatCode>#,##0</c:formatCode>
                <c:ptCount val="7"/>
                <c:pt idx="0">
                  <c:v>83451720</c:v>
                </c:pt>
                <c:pt idx="1">
                  <c:v>98250969</c:v>
                </c:pt>
                <c:pt idx="2">
                  <c:v>116516484</c:v>
                </c:pt>
                <c:pt idx="3">
                  <c:v>121991399</c:v>
                </c:pt>
                <c:pt idx="4">
                  <c:v>120728803.12</c:v>
                </c:pt>
                <c:pt idx="5">
                  <c:v>129378452</c:v>
                </c:pt>
                <c:pt idx="6">
                  <c:v>124626905</c:v>
                </c:pt>
              </c:numCache>
            </c:numRef>
          </c:val>
        </c:ser>
        <c:ser>
          <c:idx val="4"/>
          <c:order val="4"/>
          <c:tx>
            <c:strRef>
              <c:f>'Chart Data $'!$A$21</c:f>
              <c:strCache>
                <c:ptCount val="1"/>
                <c:pt idx="0">
                  <c:v>Institutional Support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$'!$D$1:$J$1</c:f>
              <c:strCache>
                <c:ptCount val="7"/>
                <c:pt idx="0">
                  <c:v>FY 2003</c:v>
                </c:pt>
                <c:pt idx="1">
                  <c:v>FY 2004</c:v>
                </c:pt>
                <c:pt idx="2">
                  <c:v>FY 2005</c:v>
                </c:pt>
                <c:pt idx="3">
                  <c:v>FY 2006</c:v>
                </c:pt>
                <c:pt idx="4">
                  <c:v>FY 2007</c:v>
                </c:pt>
                <c:pt idx="5">
                  <c:v>FY 2008</c:v>
                </c:pt>
                <c:pt idx="6">
                  <c:v>FY 2009</c:v>
                </c:pt>
              </c:strCache>
            </c:strRef>
          </c:cat>
          <c:val>
            <c:numRef>
              <c:f>'Chart Data $'!$D$21:$J$21</c:f>
              <c:numCache>
                <c:formatCode>#,##0</c:formatCode>
                <c:ptCount val="7"/>
                <c:pt idx="0">
                  <c:v>56483517</c:v>
                </c:pt>
                <c:pt idx="1">
                  <c:v>60013218</c:v>
                </c:pt>
                <c:pt idx="2">
                  <c:v>61335256</c:v>
                </c:pt>
                <c:pt idx="3">
                  <c:v>69124860</c:v>
                </c:pt>
                <c:pt idx="4">
                  <c:v>79086293</c:v>
                </c:pt>
                <c:pt idx="5">
                  <c:v>82296849</c:v>
                </c:pt>
                <c:pt idx="6">
                  <c:v>91268376</c:v>
                </c:pt>
              </c:numCache>
            </c:numRef>
          </c:val>
        </c:ser>
        <c:ser>
          <c:idx val="5"/>
          <c:order val="5"/>
          <c:tx>
            <c:strRef>
              <c:f>'Chart Data $'!$A$22</c:f>
              <c:strCache>
                <c:ptCount val="1"/>
                <c:pt idx="0">
                  <c:v>Physical Plant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$'!$D$1:$J$1</c:f>
              <c:strCache>
                <c:ptCount val="7"/>
                <c:pt idx="0">
                  <c:v>FY 2003</c:v>
                </c:pt>
                <c:pt idx="1">
                  <c:v>FY 2004</c:v>
                </c:pt>
                <c:pt idx="2">
                  <c:v>FY 2005</c:v>
                </c:pt>
                <c:pt idx="3">
                  <c:v>FY 2006</c:v>
                </c:pt>
                <c:pt idx="4">
                  <c:v>FY 2007</c:v>
                </c:pt>
                <c:pt idx="5">
                  <c:v>FY 2008</c:v>
                </c:pt>
                <c:pt idx="6">
                  <c:v>FY 2009</c:v>
                </c:pt>
              </c:strCache>
            </c:strRef>
          </c:cat>
          <c:val>
            <c:numRef>
              <c:f>'Chart Data $'!$D$22:$J$22</c:f>
              <c:numCache>
                <c:formatCode>#,##0</c:formatCode>
                <c:ptCount val="7"/>
                <c:pt idx="0">
                  <c:v>43513552</c:v>
                </c:pt>
                <c:pt idx="1">
                  <c:v>43035888</c:v>
                </c:pt>
                <c:pt idx="2">
                  <c:v>46553292</c:v>
                </c:pt>
                <c:pt idx="3">
                  <c:v>49227111</c:v>
                </c:pt>
                <c:pt idx="4">
                  <c:v>66870061</c:v>
                </c:pt>
                <c:pt idx="5">
                  <c:v>65154483</c:v>
                </c:pt>
                <c:pt idx="6">
                  <c:v>63205860</c:v>
                </c:pt>
              </c:numCache>
            </c:numRef>
          </c:val>
        </c:ser>
        <c:ser>
          <c:idx val="6"/>
          <c:order val="6"/>
          <c:tx>
            <c:strRef>
              <c:f>'Chart Data $'!$A$23</c:f>
              <c:strCache>
                <c:ptCount val="1"/>
                <c:pt idx="0">
                  <c:v>Academic Support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$'!$D$1:$J$1</c:f>
              <c:strCache>
                <c:ptCount val="7"/>
                <c:pt idx="0">
                  <c:v>FY 2003</c:v>
                </c:pt>
                <c:pt idx="1">
                  <c:v>FY 2004</c:v>
                </c:pt>
                <c:pt idx="2">
                  <c:v>FY 2005</c:v>
                </c:pt>
                <c:pt idx="3">
                  <c:v>FY 2006</c:v>
                </c:pt>
                <c:pt idx="4">
                  <c:v>FY 2007</c:v>
                </c:pt>
                <c:pt idx="5">
                  <c:v>FY 2008</c:v>
                </c:pt>
                <c:pt idx="6">
                  <c:v>FY 2009</c:v>
                </c:pt>
              </c:strCache>
            </c:strRef>
          </c:cat>
          <c:val>
            <c:numRef>
              <c:f>'Chart Data $'!$D$23:$J$23</c:f>
              <c:numCache>
                <c:formatCode>#,##0</c:formatCode>
                <c:ptCount val="7"/>
                <c:pt idx="0">
                  <c:v>41083229</c:v>
                </c:pt>
                <c:pt idx="1">
                  <c:v>43926747</c:v>
                </c:pt>
                <c:pt idx="2">
                  <c:v>45847818</c:v>
                </c:pt>
                <c:pt idx="3">
                  <c:v>38362697</c:v>
                </c:pt>
                <c:pt idx="4">
                  <c:v>40169689</c:v>
                </c:pt>
                <c:pt idx="5">
                  <c:v>45332876</c:v>
                </c:pt>
                <c:pt idx="6">
                  <c:v>49104474</c:v>
                </c:pt>
              </c:numCache>
            </c:numRef>
          </c:val>
        </c:ser>
        <c:ser>
          <c:idx val="7"/>
          <c:order val="7"/>
          <c:tx>
            <c:strRef>
              <c:f>'Chart Data $'!$A$24</c:f>
              <c:strCache>
                <c:ptCount val="1"/>
                <c:pt idx="0">
                  <c:v>Public Service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$'!$D$1:$J$1</c:f>
              <c:strCache>
                <c:ptCount val="7"/>
                <c:pt idx="0">
                  <c:v>FY 2003</c:v>
                </c:pt>
                <c:pt idx="1">
                  <c:v>FY 2004</c:v>
                </c:pt>
                <c:pt idx="2">
                  <c:v>FY 2005</c:v>
                </c:pt>
                <c:pt idx="3">
                  <c:v>FY 2006</c:v>
                </c:pt>
                <c:pt idx="4">
                  <c:v>FY 2007</c:v>
                </c:pt>
                <c:pt idx="5">
                  <c:v>FY 2008</c:v>
                </c:pt>
                <c:pt idx="6">
                  <c:v>FY 2009</c:v>
                </c:pt>
              </c:strCache>
            </c:strRef>
          </c:cat>
          <c:val>
            <c:numRef>
              <c:f>'Chart Data $'!$D$24:$J$24</c:f>
              <c:numCache>
                <c:formatCode>#,##0</c:formatCode>
                <c:ptCount val="7"/>
                <c:pt idx="0">
                  <c:v>28038546</c:v>
                </c:pt>
                <c:pt idx="1">
                  <c:v>31177083</c:v>
                </c:pt>
                <c:pt idx="2">
                  <c:v>34587177</c:v>
                </c:pt>
                <c:pt idx="3">
                  <c:v>36561461</c:v>
                </c:pt>
                <c:pt idx="4">
                  <c:v>40459200.230000004</c:v>
                </c:pt>
                <c:pt idx="5">
                  <c:v>47059968</c:v>
                </c:pt>
                <c:pt idx="6">
                  <c:v>51500107</c:v>
                </c:pt>
              </c:numCache>
            </c:numRef>
          </c:val>
        </c:ser>
        <c:ser>
          <c:idx val="8"/>
          <c:order val="8"/>
          <c:tx>
            <c:strRef>
              <c:f>'Chart Data $'!$A$25</c:f>
              <c:strCache>
                <c:ptCount val="1"/>
                <c:pt idx="0">
                  <c:v>Student Services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$'!$D$1:$J$1</c:f>
              <c:strCache>
                <c:ptCount val="7"/>
                <c:pt idx="0">
                  <c:v>FY 2003</c:v>
                </c:pt>
                <c:pt idx="1">
                  <c:v>FY 2004</c:v>
                </c:pt>
                <c:pt idx="2">
                  <c:v>FY 2005</c:v>
                </c:pt>
                <c:pt idx="3">
                  <c:v>FY 2006</c:v>
                </c:pt>
                <c:pt idx="4">
                  <c:v>FY 2007</c:v>
                </c:pt>
                <c:pt idx="5">
                  <c:v>FY 2008</c:v>
                </c:pt>
                <c:pt idx="6">
                  <c:v>FY 2009</c:v>
                </c:pt>
              </c:strCache>
            </c:strRef>
          </c:cat>
          <c:val>
            <c:numRef>
              <c:f>'Chart Data $'!$D$25:$J$25</c:f>
              <c:numCache>
                <c:formatCode>#,##0</c:formatCode>
                <c:ptCount val="7"/>
                <c:pt idx="0">
                  <c:v>24114179</c:v>
                </c:pt>
                <c:pt idx="1">
                  <c:v>24655340</c:v>
                </c:pt>
                <c:pt idx="2">
                  <c:v>25932656</c:v>
                </c:pt>
                <c:pt idx="3">
                  <c:v>28582295</c:v>
                </c:pt>
                <c:pt idx="4">
                  <c:v>29736732</c:v>
                </c:pt>
                <c:pt idx="5">
                  <c:v>32972253</c:v>
                </c:pt>
                <c:pt idx="6">
                  <c:v>29749000</c:v>
                </c:pt>
              </c:numCache>
            </c:numRef>
          </c:val>
        </c:ser>
        <c:ser>
          <c:idx val="9"/>
          <c:order val="9"/>
          <c:tx>
            <c:strRef>
              <c:f>'Chart Data $'!$A$26</c:f>
              <c:strCache>
                <c:ptCount val="1"/>
                <c:pt idx="0">
                  <c:v>Libraries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$'!$D$1:$J$1</c:f>
              <c:strCache>
                <c:ptCount val="7"/>
                <c:pt idx="0">
                  <c:v>FY 2003</c:v>
                </c:pt>
                <c:pt idx="1">
                  <c:v>FY 2004</c:v>
                </c:pt>
                <c:pt idx="2">
                  <c:v>FY 2005</c:v>
                </c:pt>
                <c:pt idx="3">
                  <c:v>FY 2006</c:v>
                </c:pt>
                <c:pt idx="4">
                  <c:v>FY 2007</c:v>
                </c:pt>
                <c:pt idx="5">
                  <c:v>FY 2008</c:v>
                </c:pt>
                <c:pt idx="6">
                  <c:v>FY 2009</c:v>
                </c:pt>
              </c:strCache>
            </c:strRef>
          </c:cat>
          <c:val>
            <c:numRef>
              <c:f>'Chart Data $'!$D$26:$J$26</c:f>
              <c:numCache>
                <c:formatCode>#,##0</c:formatCode>
                <c:ptCount val="7"/>
                <c:pt idx="0">
                  <c:v>17968834</c:v>
                </c:pt>
                <c:pt idx="1">
                  <c:v>18428901</c:v>
                </c:pt>
                <c:pt idx="2">
                  <c:v>19466184</c:v>
                </c:pt>
                <c:pt idx="3">
                  <c:v>20092873</c:v>
                </c:pt>
                <c:pt idx="4">
                  <c:v>20792704</c:v>
                </c:pt>
                <c:pt idx="5">
                  <c:v>21454773</c:v>
                </c:pt>
                <c:pt idx="6">
                  <c:v>23412128</c:v>
                </c:pt>
              </c:numCache>
            </c:numRef>
          </c:val>
        </c:ser>
        <c:ser>
          <c:idx val="10"/>
          <c:order val="10"/>
          <c:tx>
            <c:strRef>
              <c:f>'Chart Data $'!$A$27</c:f>
              <c:strCache>
                <c:ptCount val="1"/>
                <c:pt idx="0">
                  <c:v>One-time Expenditures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$'!$D$1:$J$1</c:f>
              <c:strCache>
                <c:ptCount val="7"/>
                <c:pt idx="0">
                  <c:v>FY 2003</c:v>
                </c:pt>
                <c:pt idx="1">
                  <c:v>FY 2004</c:v>
                </c:pt>
                <c:pt idx="2">
                  <c:v>FY 2005</c:v>
                </c:pt>
                <c:pt idx="3">
                  <c:v>FY 2006</c:v>
                </c:pt>
                <c:pt idx="4">
                  <c:v>FY 2007</c:v>
                </c:pt>
                <c:pt idx="5">
                  <c:v>FY 2008</c:v>
                </c:pt>
                <c:pt idx="6">
                  <c:v>FY 2009</c:v>
                </c:pt>
              </c:strCache>
            </c:strRef>
          </c:cat>
          <c:val>
            <c:numRef>
              <c:f>'Chart Data $'!$D$27:$J$27</c:f>
              <c:numCache>
                <c:formatCode>#,##0</c:formatCode>
                <c:ptCount val="7"/>
                <c:pt idx="3">
                  <c:v>6336879</c:v>
                </c:pt>
                <c:pt idx="4">
                  <c:v>5323400</c:v>
                </c:pt>
                <c:pt idx="5">
                  <c:v>4363300</c:v>
                </c:pt>
                <c:pt idx="6">
                  <c:v>15204067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292096"/>
        <c:axId val="78293632"/>
        <c:axId val="0"/>
      </c:bar3DChart>
      <c:catAx>
        <c:axId val="7829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29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293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292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0252144952469173"/>
          <c:y val="0.41599999999999998"/>
          <c:w val="0.99159719005712521"/>
          <c:h val="0.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&amp;L&amp;"Arial,Bold"CONSENT AGENDA -BAHR - SECTION II&amp;R&amp;"Arial,Bold"TAB x  Page 9</c:oddFooter>
    </c:headerFooter>
    <c:pageMargins b="1" l="0.75000000000000033" r="0.75000000000000033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College and Universities</a:t>
            </a:r>
          </a:p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All Funds Revenues</a:t>
            </a:r>
          </a:p>
        </c:rich>
      </c:tx>
      <c:layout>
        <c:manualLayout>
          <c:xMode val="edge"/>
          <c:yMode val="edge"/>
          <c:x val="0.34979013652705176"/>
          <c:y val="0.0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6722718168739222E-2"/>
          <c:y val="0.20200000000000001"/>
          <c:w val="0.73529449477995279"/>
          <c:h val="0.714000000000000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'Chart Data %'!$A$2</c:f>
              <c:strCache>
                <c:ptCount val="1"/>
                <c:pt idx="0">
                  <c:v>General Appropriations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%'!$B$1:$F$1</c:f>
              <c:strCache>
                <c:ptCount val="5"/>
                <c:pt idx="0">
                  <c:v>FY 2001</c:v>
                </c:pt>
                <c:pt idx="1">
                  <c:v>FY 2002</c:v>
                </c:pt>
                <c:pt idx="2">
                  <c:v>FY 2003</c:v>
                </c:pt>
                <c:pt idx="3">
                  <c:v>FY 2004</c:v>
                </c:pt>
                <c:pt idx="4">
                  <c:v>FY 2005</c:v>
                </c:pt>
              </c:strCache>
            </c:strRef>
          </c:cat>
          <c:val>
            <c:numRef>
              <c:f>'Chart Data %'!$B$2:$F$2</c:f>
              <c:numCache>
                <c:formatCode>0.0%</c:formatCode>
                <c:ptCount val="5"/>
                <c:pt idx="0">
                  <c:v>0.36456374228976013</c:v>
                </c:pt>
                <c:pt idx="1">
                  <c:v>0.36724099073620237</c:v>
                </c:pt>
                <c:pt idx="2">
                  <c:v>0.33180123187676602</c:v>
                </c:pt>
                <c:pt idx="3">
                  <c:v>0.31673002730966343</c:v>
                </c:pt>
                <c:pt idx="4">
                  <c:v>0.30240318235871183</c:v>
                </c:pt>
              </c:numCache>
            </c:numRef>
          </c:val>
        </c:ser>
        <c:ser>
          <c:idx val="1"/>
          <c:order val="1"/>
          <c:tx>
            <c:strRef>
              <c:f>'Chart Data %'!$A$3</c:f>
              <c:strCache>
                <c:ptCount val="1"/>
                <c:pt idx="0">
                  <c:v>Federal Grants &amp; Contracts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%'!$B$1:$F$1</c:f>
              <c:strCache>
                <c:ptCount val="5"/>
                <c:pt idx="0">
                  <c:v>FY 2001</c:v>
                </c:pt>
                <c:pt idx="1">
                  <c:v>FY 2002</c:v>
                </c:pt>
                <c:pt idx="2">
                  <c:v>FY 2003</c:v>
                </c:pt>
                <c:pt idx="3">
                  <c:v>FY 2004</c:v>
                </c:pt>
                <c:pt idx="4">
                  <c:v>FY 2005</c:v>
                </c:pt>
              </c:strCache>
            </c:strRef>
          </c:cat>
          <c:val>
            <c:numRef>
              <c:f>'Chart Data %'!$B$3:$F$3</c:f>
              <c:numCache>
                <c:formatCode>0.0%</c:formatCode>
                <c:ptCount val="5"/>
                <c:pt idx="0">
                  <c:v>0.2313821167966508</c:v>
                </c:pt>
                <c:pt idx="1">
                  <c:v>0.21444480776769012</c:v>
                </c:pt>
                <c:pt idx="2">
                  <c:v>0.22853908175877646</c:v>
                </c:pt>
                <c:pt idx="3">
                  <c:v>0.24178838748272888</c:v>
                </c:pt>
                <c:pt idx="4">
                  <c:v>0.25384379228259085</c:v>
                </c:pt>
              </c:numCache>
            </c:numRef>
          </c:val>
        </c:ser>
        <c:ser>
          <c:idx val="2"/>
          <c:order val="2"/>
          <c:tx>
            <c:strRef>
              <c:f>'Chart Data %'!$A$4</c:f>
              <c:strCache>
                <c:ptCount val="1"/>
                <c:pt idx="0">
                  <c:v>Student Fees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%'!$B$1:$F$1</c:f>
              <c:strCache>
                <c:ptCount val="5"/>
                <c:pt idx="0">
                  <c:v>FY 2001</c:v>
                </c:pt>
                <c:pt idx="1">
                  <c:v>FY 2002</c:v>
                </c:pt>
                <c:pt idx="2">
                  <c:v>FY 2003</c:v>
                </c:pt>
                <c:pt idx="3">
                  <c:v>FY 2004</c:v>
                </c:pt>
                <c:pt idx="4">
                  <c:v>FY 2005</c:v>
                </c:pt>
              </c:strCache>
            </c:strRef>
          </c:cat>
          <c:val>
            <c:numRef>
              <c:f>'Chart Data %'!$B$4:$F$4</c:f>
              <c:numCache>
                <c:formatCode>0.0%</c:formatCode>
                <c:ptCount val="5"/>
                <c:pt idx="0">
                  <c:v>8.8232071727409073E-2</c:v>
                </c:pt>
                <c:pt idx="1">
                  <c:v>8.6429657533089024E-2</c:v>
                </c:pt>
                <c:pt idx="2">
                  <c:v>0.10500738555482542</c:v>
                </c:pt>
                <c:pt idx="3">
                  <c:v>0.11602544546644747</c:v>
                </c:pt>
                <c:pt idx="4">
                  <c:v>0.12079095796256317</c:v>
                </c:pt>
              </c:numCache>
            </c:numRef>
          </c:val>
        </c:ser>
        <c:ser>
          <c:idx val="3"/>
          <c:order val="3"/>
          <c:tx>
            <c:strRef>
              <c:f>'Chart Data %'!$A$5</c:f>
              <c:strCache>
                <c:ptCount val="1"/>
                <c:pt idx="0">
                  <c:v>Sales &amp; Serv of Aux Ent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%'!$B$1:$F$1</c:f>
              <c:strCache>
                <c:ptCount val="5"/>
                <c:pt idx="0">
                  <c:v>FY 2001</c:v>
                </c:pt>
                <c:pt idx="1">
                  <c:v>FY 2002</c:v>
                </c:pt>
                <c:pt idx="2">
                  <c:v>FY 2003</c:v>
                </c:pt>
                <c:pt idx="3">
                  <c:v>FY 2004</c:v>
                </c:pt>
                <c:pt idx="4">
                  <c:v>FY 2005</c:v>
                </c:pt>
              </c:strCache>
            </c:strRef>
          </c:cat>
          <c:val>
            <c:numRef>
              <c:f>'Chart Data %'!$B$5:$F$5</c:f>
              <c:numCache>
                <c:formatCode>0.0%</c:formatCode>
                <c:ptCount val="5"/>
                <c:pt idx="0">
                  <c:v>5.8132531964516759E-2</c:v>
                </c:pt>
                <c:pt idx="1">
                  <c:v>6.8073570117957699E-2</c:v>
                </c:pt>
                <c:pt idx="2">
                  <c:v>9.9624226943624716E-2</c:v>
                </c:pt>
                <c:pt idx="3">
                  <c:v>9.6305869185700874E-2</c:v>
                </c:pt>
                <c:pt idx="4">
                  <c:v>9.9243568436029675E-2</c:v>
                </c:pt>
              </c:numCache>
            </c:numRef>
          </c:val>
        </c:ser>
        <c:ser>
          <c:idx val="4"/>
          <c:order val="4"/>
          <c:tx>
            <c:strRef>
              <c:f>'Chart Data %'!$A$6</c:f>
              <c:strCache>
                <c:ptCount val="1"/>
                <c:pt idx="0">
                  <c:v>Other Student Fees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%'!$B$1:$F$1</c:f>
              <c:strCache>
                <c:ptCount val="5"/>
                <c:pt idx="0">
                  <c:v>FY 2001</c:v>
                </c:pt>
                <c:pt idx="1">
                  <c:v>FY 2002</c:v>
                </c:pt>
                <c:pt idx="2">
                  <c:v>FY 2003</c:v>
                </c:pt>
                <c:pt idx="3">
                  <c:v>FY 2004</c:v>
                </c:pt>
                <c:pt idx="4">
                  <c:v>FY 2005</c:v>
                </c:pt>
              </c:strCache>
            </c:strRef>
          </c:cat>
          <c:val>
            <c:numRef>
              <c:f>'Chart Data %'!$B$6:$F$6</c:f>
              <c:numCache>
                <c:formatCode>0.0%</c:formatCode>
                <c:ptCount val="5"/>
                <c:pt idx="0">
                  <c:v>5.8784724960052534E-2</c:v>
                </c:pt>
                <c:pt idx="1">
                  <c:v>5.9992276743808165E-2</c:v>
                </c:pt>
                <c:pt idx="2">
                  <c:v>6.2739410878075122E-2</c:v>
                </c:pt>
                <c:pt idx="3">
                  <c:v>6.2002311567984324E-2</c:v>
                </c:pt>
                <c:pt idx="4">
                  <c:v>5.7724792670737823E-2</c:v>
                </c:pt>
              </c:numCache>
            </c:numRef>
          </c:val>
        </c:ser>
        <c:ser>
          <c:idx val="5"/>
          <c:order val="5"/>
          <c:tx>
            <c:strRef>
              <c:f>'Chart Data %'!$A$7</c:f>
              <c:strCache>
                <c:ptCount val="1"/>
                <c:pt idx="0">
                  <c:v>Sales &amp; Serv of Educ Act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%'!$B$1:$F$1</c:f>
              <c:strCache>
                <c:ptCount val="5"/>
                <c:pt idx="0">
                  <c:v>FY 2001</c:v>
                </c:pt>
                <c:pt idx="1">
                  <c:v>FY 2002</c:v>
                </c:pt>
                <c:pt idx="2">
                  <c:v>FY 2003</c:v>
                </c:pt>
                <c:pt idx="3">
                  <c:v>FY 2004</c:v>
                </c:pt>
                <c:pt idx="4">
                  <c:v>FY 2005</c:v>
                </c:pt>
              </c:strCache>
            </c:strRef>
          </c:cat>
          <c:val>
            <c:numRef>
              <c:f>'Chart Data %'!$B$7:$F$7</c:f>
              <c:numCache>
                <c:formatCode>0.0%</c:formatCode>
                <c:ptCount val="5"/>
                <c:pt idx="0">
                  <c:v>8.2247324549413053E-2</c:v>
                </c:pt>
                <c:pt idx="1">
                  <c:v>8.2170710890549281E-2</c:v>
                </c:pt>
                <c:pt idx="2">
                  <c:v>5.4691444787980915E-2</c:v>
                </c:pt>
                <c:pt idx="3">
                  <c:v>4.9204799624968633E-2</c:v>
                </c:pt>
                <c:pt idx="4">
                  <c:v>4.4808231380021442E-2</c:v>
                </c:pt>
              </c:numCache>
            </c:numRef>
          </c:val>
        </c:ser>
        <c:ser>
          <c:idx val="6"/>
          <c:order val="6"/>
          <c:tx>
            <c:strRef>
              <c:f>'Chart Data %'!$A$8</c:f>
              <c:strCache>
                <c:ptCount val="1"/>
                <c:pt idx="0">
                  <c:v>Private Gifts, Grts &amp; Contr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%'!$B$1:$F$1</c:f>
              <c:strCache>
                <c:ptCount val="5"/>
                <c:pt idx="0">
                  <c:v>FY 2001</c:v>
                </c:pt>
                <c:pt idx="1">
                  <c:v>FY 2002</c:v>
                </c:pt>
                <c:pt idx="2">
                  <c:v>FY 2003</c:v>
                </c:pt>
                <c:pt idx="3">
                  <c:v>FY 2004</c:v>
                </c:pt>
                <c:pt idx="4">
                  <c:v>FY 2005</c:v>
                </c:pt>
              </c:strCache>
            </c:strRef>
          </c:cat>
          <c:val>
            <c:numRef>
              <c:f>'Chart Data %'!$B$8:$F$8</c:f>
              <c:numCache>
                <c:formatCode>0.0%</c:formatCode>
                <c:ptCount val="5"/>
                <c:pt idx="0">
                  <c:v>4.2761856994461986E-2</c:v>
                </c:pt>
                <c:pt idx="1">
                  <c:v>4.6351799423546142E-2</c:v>
                </c:pt>
                <c:pt idx="2">
                  <c:v>4.5495809951410331E-2</c:v>
                </c:pt>
                <c:pt idx="3">
                  <c:v>3.7615272914985509E-2</c:v>
                </c:pt>
                <c:pt idx="4">
                  <c:v>3.9135123681453519E-2</c:v>
                </c:pt>
              </c:numCache>
            </c:numRef>
          </c:val>
        </c:ser>
        <c:ser>
          <c:idx val="7"/>
          <c:order val="7"/>
          <c:tx>
            <c:strRef>
              <c:f>'Chart Data %'!$A$9</c:f>
              <c:strCache>
                <c:ptCount val="1"/>
                <c:pt idx="0">
                  <c:v>State Grants &amp; Contracts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%'!$B$1:$F$1</c:f>
              <c:strCache>
                <c:ptCount val="5"/>
                <c:pt idx="0">
                  <c:v>FY 2001</c:v>
                </c:pt>
                <c:pt idx="1">
                  <c:v>FY 2002</c:v>
                </c:pt>
                <c:pt idx="2">
                  <c:v>FY 2003</c:v>
                </c:pt>
                <c:pt idx="3">
                  <c:v>FY 2004</c:v>
                </c:pt>
                <c:pt idx="4">
                  <c:v>FY 2005</c:v>
                </c:pt>
              </c:strCache>
            </c:strRef>
          </c:cat>
          <c:val>
            <c:numRef>
              <c:f>'Chart Data %'!$B$9:$F$9</c:f>
              <c:numCache>
                <c:formatCode>0.0%</c:formatCode>
                <c:ptCount val="5"/>
                <c:pt idx="0">
                  <c:v>2.298195124374644E-2</c:v>
                </c:pt>
                <c:pt idx="1">
                  <c:v>2.4241779383542831E-2</c:v>
                </c:pt>
                <c:pt idx="2">
                  <c:v>2.3897900457508336E-2</c:v>
                </c:pt>
                <c:pt idx="3">
                  <c:v>3.2273960383288725E-2</c:v>
                </c:pt>
                <c:pt idx="4">
                  <c:v>3.697138406659424E-2</c:v>
                </c:pt>
              </c:numCache>
            </c:numRef>
          </c:val>
        </c:ser>
        <c:ser>
          <c:idx val="8"/>
          <c:order val="8"/>
          <c:tx>
            <c:strRef>
              <c:f>'Chart Data %'!$A$10</c:f>
              <c:strCache>
                <c:ptCount val="1"/>
                <c:pt idx="0">
                  <c:v>Indirect Costs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%'!$B$1:$F$1</c:f>
              <c:strCache>
                <c:ptCount val="5"/>
                <c:pt idx="0">
                  <c:v>FY 2001</c:v>
                </c:pt>
                <c:pt idx="1">
                  <c:v>FY 2002</c:v>
                </c:pt>
                <c:pt idx="2">
                  <c:v>FY 2003</c:v>
                </c:pt>
                <c:pt idx="3">
                  <c:v>FY 2004</c:v>
                </c:pt>
                <c:pt idx="4">
                  <c:v>FY 2005</c:v>
                </c:pt>
              </c:strCache>
            </c:strRef>
          </c:cat>
          <c:val>
            <c:numRef>
              <c:f>'Chart Data %'!$B$10:$F$10</c:f>
              <c:numCache>
                <c:formatCode>0.0%</c:formatCode>
                <c:ptCount val="5"/>
                <c:pt idx="0">
                  <c:v>1.012363137259506E-2</c:v>
                </c:pt>
                <c:pt idx="1">
                  <c:v>1.1230322943880523E-2</c:v>
                </c:pt>
                <c:pt idx="2">
                  <c:v>1.1179538518623681E-2</c:v>
                </c:pt>
                <c:pt idx="3">
                  <c:v>1.5307771527188705E-2</c:v>
                </c:pt>
                <c:pt idx="4">
                  <c:v>1.6434279497345598E-2</c:v>
                </c:pt>
              </c:numCache>
            </c:numRef>
          </c:val>
        </c:ser>
        <c:ser>
          <c:idx val="9"/>
          <c:order val="9"/>
          <c:tx>
            <c:strRef>
              <c:f>'Chart Data %'!$A$11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%'!$B$1:$F$1</c:f>
              <c:strCache>
                <c:ptCount val="5"/>
                <c:pt idx="0">
                  <c:v>FY 2001</c:v>
                </c:pt>
                <c:pt idx="1">
                  <c:v>FY 2002</c:v>
                </c:pt>
                <c:pt idx="2">
                  <c:v>FY 2003</c:v>
                </c:pt>
                <c:pt idx="3">
                  <c:v>FY 2004</c:v>
                </c:pt>
                <c:pt idx="4">
                  <c:v>FY 2005</c:v>
                </c:pt>
              </c:strCache>
            </c:strRef>
          </c:cat>
          <c:val>
            <c:numRef>
              <c:f>'Chart Data %'!$B$11:$F$11</c:f>
              <c:numCache>
                <c:formatCode>0.0%</c:formatCode>
                <c:ptCount val="5"/>
                <c:pt idx="0">
                  <c:v>1.614744079022894E-2</c:v>
                </c:pt>
                <c:pt idx="1">
                  <c:v>1.3353353956133521E-2</c:v>
                </c:pt>
                <c:pt idx="2">
                  <c:v>1.373055759075883E-2</c:v>
                </c:pt>
                <c:pt idx="3">
                  <c:v>1.2970475413214357E-2</c:v>
                </c:pt>
                <c:pt idx="4">
                  <c:v>1.2417278771393259E-2</c:v>
                </c:pt>
              </c:numCache>
            </c:numRef>
          </c:val>
        </c:ser>
        <c:ser>
          <c:idx val="10"/>
          <c:order val="10"/>
          <c:tx>
            <c:strRef>
              <c:f>'Chart Data %'!$A$12</c:f>
              <c:strCache>
                <c:ptCount val="1"/>
                <c:pt idx="0">
                  <c:v>Endowment Funds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%'!$B$1:$F$1</c:f>
              <c:strCache>
                <c:ptCount val="5"/>
                <c:pt idx="0">
                  <c:v>FY 2001</c:v>
                </c:pt>
                <c:pt idx="1">
                  <c:v>FY 2002</c:v>
                </c:pt>
                <c:pt idx="2">
                  <c:v>FY 2003</c:v>
                </c:pt>
                <c:pt idx="3">
                  <c:v>FY 2004</c:v>
                </c:pt>
                <c:pt idx="4">
                  <c:v>FY 2005</c:v>
                </c:pt>
              </c:strCache>
            </c:strRef>
          </c:cat>
          <c:val>
            <c:numRef>
              <c:f>'Chart Data %'!$B$12:$F$12</c:f>
              <c:numCache>
                <c:formatCode>0.0%</c:formatCode>
                <c:ptCount val="5"/>
                <c:pt idx="0">
                  <c:v>1.8211642489606564E-2</c:v>
                </c:pt>
                <c:pt idx="1">
                  <c:v>2.0538305809954457E-2</c:v>
                </c:pt>
                <c:pt idx="2">
                  <c:v>1.7418133539698257E-2</c:v>
                </c:pt>
                <c:pt idx="3">
                  <c:v>1.4284424723975672E-2</c:v>
                </c:pt>
                <c:pt idx="4">
                  <c:v>1.1122212777556996E-2</c:v>
                </c:pt>
              </c:numCache>
            </c:numRef>
          </c:val>
        </c:ser>
        <c:ser>
          <c:idx val="11"/>
          <c:order val="11"/>
          <c:tx>
            <c:strRef>
              <c:f>'Chart Data %'!$A$13</c:f>
              <c:strCache>
                <c:ptCount val="1"/>
                <c:pt idx="0">
                  <c:v>Federal Approp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%'!$B$1:$F$1</c:f>
              <c:strCache>
                <c:ptCount val="5"/>
                <c:pt idx="0">
                  <c:v>FY 2001</c:v>
                </c:pt>
                <c:pt idx="1">
                  <c:v>FY 2002</c:v>
                </c:pt>
                <c:pt idx="2">
                  <c:v>FY 2003</c:v>
                </c:pt>
                <c:pt idx="3">
                  <c:v>FY 2004</c:v>
                </c:pt>
                <c:pt idx="4">
                  <c:v>FY 2005</c:v>
                </c:pt>
              </c:strCache>
            </c:strRef>
          </c:cat>
          <c:val>
            <c:numRef>
              <c:f>'Chart Data %'!$B$13:$F$13</c:f>
              <c:numCache>
                <c:formatCode>0.0%</c:formatCode>
                <c:ptCount val="5"/>
                <c:pt idx="0">
                  <c:v>6.43096482155867E-3</c:v>
                </c:pt>
                <c:pt idx="1">
                  <c:v>5.9324246936458686E-3</c:v>
                </c:pt>
                <c:pt idx="2">
                  <c:v>5.8752781419519166E-3</c:v>
                </c:pt>
                <c:pt idx="3">
                  <c:v>5.4912543998534109E-3</c:v>
                </c:pt>
                <c:pt idx="4">
                  <c:v>5.1051961150015866E-3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52448"/>
        <c:axId val="72553984"/>
        <c:axId val="0"/>
      </c:bar3DChart>
      <c:catAx>
        <c:axId val="725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5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0357186969275896"/>
          <c:y val="0.33600000000000002"/>
          <c:w val="0.99159719005712521"/>
          <c:h val="0.841999999999999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College and Universities</a:t>
            </a:r>
            <a:endParaRPr lang="en-US" sz="2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All Funds Expenditures</a:t>
            </a:r>
          </a:p>
        </c:rich>
      </c:tx>
      <c:layout>
        <c:manualLayout>
          <c:xMode val="edge"/>
          <c:yMode val="edge"/>
          <c:x val="0.34979013652705176"/>
          <c:y val="0.0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6722718168739222E-2"/>
          <c:y val="0.21200000000000008"/>
          <c:w val="0.73424407407312486"/>
          <c:h val="0.704000000000000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'Chart Data %'!$A$17</c:f>
              <c:strCache>
                <c:ptCount val="1"/>
                <c:pt idx="0">
                  <c:v>Instruction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%'!$B$1:$F$1</c:f>
              <c:strCache>
                <c:ptCount val="5"/>
                <c:pt idx="0">
                  <c:v>FY 2001</c:v>
                </c:pt>
                <c:pt idx="1">
                  <c:v>FY 2002</c:v>
                </c:pt>
                <c:pt idx="2">
                  <c:v>FY 2003</c:v>
                </c:pt>
                <c:pt idx="3">
                  <c:v>FY 2004</c:v>
                </c:pt>
                <c:pt idx="4">
                  <c:v>FY 2005</c:v>
                </c:pt>
              </c:strCache>
            </c:strRef>
          </c:cat>
          <c:val>
            <c:numRef>
              <c:f>'Chart Data %'!$B$17:$F$17</c:f>
              <c:numCache>
                <c:formatCode>0.0%</c:formatCode>
                <c:ptCount val="5"/>
                <c:pt idx="0">
                  <c:v>0.2965889342395831</c:v>
                </c:pt>
                <c:pt idx="1">
                  <c:v>0.30431307151207587</c:v>
                </c:pt>
                <c:pt idx="2">
                  <c:v>0.30775172271254936</c:v>
                </c:pt>
                <c:pt idx="3">
                  <c:v>0.29842352358424629</c:v>
                </c:pt>
                <c:pt idx="4">
                  <c:v>0.28992662985097761</c:v>
                </c:pt>
              </c:numCache>
            </c:numRef>
          </c:val>
        </c:ser>
        <c:ser>
          <c:idx val="1"/>
          <c:order val="1"/>
          <c:tx>
            <c:strRef>
              <c:f>'Chart Data %'!$A$18</c:f>
              <c:strCache>
                <c:ptCount val="1"/>
                <c:pt idx="0">
                  <c:v>Scholarships &amp; Fellowships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%'!$B$1:$F$1</c:f>
              <c:strCache>
                <c:ptCount val="5"/>
                <c:pt idx="0">
                  <c:v>FY 2001</c:v>
                </c:pt>
                <c:pt idx="1">
                  <c:v>FY 2002</c:v>
                </c:pt>
                <c:pt idx="2">
                  <c:v>FY 2003</c:v>
                </c:pt>
                <c:pt idx="3">
                  <c:v>FY 2004</c:v>
                </c:pt>
                <c:pt idx="4">
                  <c:v>FY 2005</c:v>
                </c:pt>
              </c:strCache>
            </c:strRef>
          </c:cat>
          <c:val>
            <c:numRef>
              <c:f>'Chart Data %'!$B$18:$F$18</c:f>
              <c:numCache>
                <c:formatCode>0.0%</c:formatCode>
                <c:ptCount val="5"/>
                <c:pt idx="0">
                  <c:v>0.19852674267902706</c:v>
                </c:pt>
                <c:pt idx="1">
                  <c:v>0.17902827192234072</c:v>
                </c:pt>
                <c:pt idx="2">
                  <c:v>0.18229342916161792</c:v>
                </c:pt>
                <c:pt idx="3">
                  <c:v>0.18268023274194381</c:v>
                </c:pt>
                <c:pt idx="4">
                  <c:v>0.18278862000749774</c:v>
                </c:pt>
              </c:numCache>
            </c:numRef>
          </c:val>
        </c:ser>
        <c:ser>
          <c:idx val="2"/>
          <c:order val="2"/>
          <c:tx>
            <c:strRef>
              <c:f>'Chart Data %'!$A$19</c:f>
              <c:strCache>
                <c:ptCount val="1"/>
                <c:pt idx="0">
                  <c:v>Auxiliary Enterprises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%'!$B$1:$F$1</c:f>
              <c:strCache>
                <c:ptCount val="5"/>
                <c:pt idx="0">
                  <c:v>FY 2001</c:v>
                </c:pt>
                <c:pt idx="1">
                  <c:v>FY 2002</c:v>
                </c:pt>
                <c:pt idx="2">
                  <c:v>FY 2003</c:v>
                </c:pt>
                <c:pt idx="3">
                  <c:v>FY 2004</c:v>
                </c:pt>
                <c:pt idx="4">
                  <c:v>FY 2005</c:v>
                </c:pt>
              </c:strCache>
            </c:strRef>
          </c:cat>
          <c:val>
            <c:numRef>
              <c:f>'Chart Data %'!$B$19:$F$19</c:f>
              <c:numCache>
                <c:formatCode>0.0%</c:formatCode>
                <c:ptCount val="5"/>
                <c:pt idx="0">
                  <c:v>0.11864721054136673</c:v>
                </c:pt>
                <c:pt idx="1">
                  <c:v>0.13063116502674763</c:v>
                </c:pt>
                <c:pt idx="2">
                  <c:v>0.13315993287958014</c:v>
                </c:pt>
                <c:pt idx="3">
                  <c:v>0.13699948941796669</c:v>
                </c:pt>
                <c:pt idx="4">
                  <c:v>0.13788835794990462</c:v>
                </c:pt>
              </c:numCache>
            </c:numRef>
          </c:val>
        </c:ser>
        <c:ser>
          <c:idx val="3"/>
          <c:order val="3"/>
          <c:tx>
            <c:strRef>
              <c:f>'Chart Data %'!$A$20</c:f>
              <c:strCache>
                <c:ptCount val="1"/>
                <c:pt idx="0">
                  <c:v>Research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%'!$B$1:$F$1</c:f>
              <c:strCache>
                <c:ptCount val="5"/>
                <c:pt idx="0">
                  <c:v>FY 2001</c:v>
                </c:pt>
                <c:pt idx="1">
                  <c:v>FY 2002</c:v>
                </c:pt>
                <c:pt idx="2">
                  <c:v>FY 2003</c:v>
                </c:pt>
                <c:pt idx="3">
                  <c:v>FY 2004</c:v>
                </c:pt>
                <c:pt idx="4">
                  <c:v>FY 2005</c:v>
                </c:pt>
              </c:strCache>
            </c:strRef>
          </c:cat>
          <c:val>
            <c:numRef>
              <c:f>'Chart Data %'!$B$20:$F$20</c:f>
              <c:numCache>
                <c:formatCode>0.0%</c:formatCode>
                <c:ptCount val="5"/>
                <c:pt idx="0">
                  <c:v>0.10451375103664827</c:v>
                </c:pt>
                <c:pt idx="1">
                  <c:v>0.10787741503325889</c:v>
                </c:pt>
                <c:pt idx="2">
                  <c:v>0.10671577139738575</c:v>
                </c:pt>
                <c:pt idx="3">
                  <c:v>0.11744324987754466</c:v>
                </c:pt>
                <c:pt idx="4">
                  <c:v>0.12954329966026479</c:v>
                </c:pt>
              </c:numCache>
            </c:numRef>
          </c:val>
        </c:ser>
        <c:ser>
          <c:idx val="4"/>
          <c:order val="4"/>
          <c:tx>
            <c:strRef>
              <c:f>'Chart Data %'!$A$21</c:f>
              <c:strCache>
                <c:ptCount val="1"/>
                <c:pt idx="0">
                  <c:v>Institutional Support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%'!$B$1:$F$1</c:f>
              <c:strCache>
                <c:ptCount val="5"/>
                <c:pt idx="0">
                  <c:v>FY 2001</c:v>
                </c:pt>
                <c:pt idx="1">
                  <c:v>FY 2002</c:v>
                </c:pt>
                <c:pt idx="2">
                  <c:v>FY 2003</c:v>
                </c:pt>
                <c:pt idx="3">
                  <c:v>FY 2004</c:v>
                </c:pt>
                <c:pt idx="4">
                  <c:v>FY 2005</c:v>
                </c:pt>
              </c:strCache>
            </c:strRef>
          </c:cat>
          <c:val>
            <c:numRef>
              <c:f>'Chart Data %'!$B$21:$F$21</c:f>
              <c:numCache>
                <c:formatCode>0.0%</c:formatCode>
                <c:ptCount val="5"/>
                <c:pt idx="0">
                  <c:v>7.5198050253873258E-2</c:v>
                </c:pt>
                <c:pt idx="1">
                  <c:v>7.451054452871568E-2</c:v>
                </c:pt>
                <c:pt idx="2">
                  <c:v>7.2229572834356812E-2</c:v>
                </c:pt>
                <c:pt idx="3">
                  <c:v>7.1736161274191204E-2</c:v>
                </c:pt>
                <c:pt idx="4">
                  <c:v>6.819268119819899E-2</c:v>
                </c:pt>
              </c:numCache>
            </c:numRef>
          </c:val>
        </c:ser>
        <c:ser>
          <c:idx val="5"/>
          <c:order val="5"/>
          <c:tx>
            <c:strRef>
              <c:f>'Chart Data %'!$A$22</c:f>
              <c:strCache>
                <c:ptCount val="1"/>
                <c:pt idx="0">
                  <c:v>Physical Plant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%'!$B$1:$F$1</c:f>
              <c:strCache>
                <c:ptCount val="5"/>
                <c:pt idx="0">
                  <c:v>FY 2001</c:v>
                </c:pt>
                <c:pt idx="1">
                  <c:v>FY 2002</c:v>
                </c:pt>
                <c:pt idx="2">
                  <c:v>FY 2003</c:v>
                </c:pt>
                <c:pt idx="3">
                  <c:v>FY 2004</c:v>
                </c:pt>
                <c:pt idx="4">
                  <c:v>FY 2005</c:v>
                </c:pt>
              </c:strCache>
            </c:strRef>
          </c:cat>
          <c:val>
            <c:numRef>
              <c:f>'Chart Data %'!$B$22:$F$22</c:f>
              <c:numCache>
                <c:formatCode>0.0%</c:formatCode>
                <c:ptCount val="5"/>
                <c:pt idx="0">
                  <c:v>5.740516798660468E-2</c:v>
                </c:pt>
                <c:pt idx="1">
                  <c:v>5.7854553234719629E-2</c:v>
                </c:pt>
                <c:pt idx="2">
                  <c:v>5.5643937212082113E-2</c:v>
                </c:pt>
                <c:pt idx="3">
                  <c:v>5.1442490588423873E-2</c:v>
                </c:pt>
                <c:pt idx="4">
                  <c:v>5.1758059020454196E-2</c:v>
                </c:pt>
              </c:numCache>
            </c:numRef>
          </c:val>
        </c:ser>
        <c:ser>
          <c:idx val="6"/>
          <c:order val="6"/>
          <c:tx>
            <c:strRef>
              <c:f>'Chart Data %'!$A$23</c:f>
              <c:strCache>
                <c:ptCount val="1"/>
                <c:pt idx="0">
                  <c:v>Academic Support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%'!$B$1:$F$1</c:f>
              <c:strCache>
                <c:ptCount val="5"/>
                <c:pt idx="0">
                  <c:v>FY 2001</c:v>
                </c:pt>
                <c:pt idx="1">
                  <c:v>FY 2002</c:v>
                </c:pt>
                <c:pt idx="2">
                  <c:v>FY 2003</c:v>
                </c:pt>
                <c:pt idx="3">
                  <c:v>FY 2004</c:v>
                </c:pt>
                <c:pt idx="4">
                  <c:v>FY 2005</c:v>
                </c:pt>
              </c:strCache>
            </c:strRef>
          </c:cat>
          <c:val>
            <c:numRef>
              <c:f>'Chart Data %'!$B$23:$F$23</c:f>
              <c:numCache>
                <c:formatCode>0.0%</c:formatCode>
                <c:ptCount val="5"/>
                <c:pt idx="0">
                  <c:v>5.5715132240871351E-2</c:v>
                </c:pt>
                <c:pt idx="1">
                  <c:v>5.4305950007239027E-2</c:v>
                </c:pt>
                <c:pt idx="2">
                  <c:v>5.2536106796006704E-2</c:v>
                </c:pt>
                <c:pt idx="3">
                  <c:v>5.2507369410562096E-2</c:v>
                </c:pt>
                <c:pt idx="4">
                  <c:v>5.0973711375836582E-2</c:v>
                </c:pt>
              </c:numCache>
            </c:numRef>
          </c:val>
        </c:ser>
        <c:ser>
          <c:idx val="7"/>
          <c:order val="7"/>
          <c:tx>
            <c:strRef>
              <c:f>'Chart Data %'!$A$24</c:f>
              <c:strCache>
                <c:ptCount val="1"/>
                <c:pt idx="0">
                  <c:v>Public Service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%'!$B$1:$F$1</c:f>
              <c:strCache>
                <c:ptCount val="5"/>
                <c:pt idx="0">
                  <c:v>FY 2001</c:v>
                </c:pt>
                <c:pt idx="1">
                  <c:v>FY 2002</c:v>
                </c:pt>
                <c:pt idx="2">
                  <c:v>FY 2003</c:v>
                </c:pt>
                <c:pt idx="3">
                  <c:v>FY 2004</c:v>
                </c:pt>
                <c:pt idx="4">
                  <c:v>FY 2005</c:v>
                </c:pt>
              </c:strCache>
            </c:strRef>
          </c:cat>
          <c:val>
            <c:numRef>
              <c:f>'Chart Data %'!$B$24:$F$24</c:f>
              <c:numCache>
                <c:formatCode>0.0%</c:formatCode>
                <c:ptCount val="5"/>
                <c:pt idx="0">
                  <c:v>3.6370374444804537E-2</c:v>
                </c:pt>
                <c:pt idx="1">
                  <c:v>3.5270048956688518E-2</c:v>
                </c:pt>
                <c:pt idx="2">
                  <c:v>3.5854923844003267E-2</c:v>
                </c:pt>
                <c:pt idx="3">
                  <c:v>3.7267194272882435E-2</c:v>
                </c:pt>
                <c:pt idx="4">
                  <c:v>3.8454104352424655E-2</c:v>
                </c:pt>
              </c:numCache>
            </c:numRef>
          </c:val>
        </c:ser>
        <c:ser>
          <c:idx val="8"/>
          <c:order val="8"/>
          <c:tx>
            <c:strRef>
              <c:f>'Chart Data %'!$A$25</c:f>
              <c:strCache>
                <c:ptCount val="1"/>
                <c:pt idx="0">
                  <c:v>Student Services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%'!$B$1:$F$1</c:f>
              <c:strCache>
                <c:ptCount val="5"/>
                <c:pt idx="0">
                  <c:v>FY 2001</c:v>
                </c:pt>
                <c:pt idx="1">
                  <c:v>FY 2002</c:v>
                </c:pt>
                <c:pt idx="2">
                  <c:v>FY 2003</c:v>
                </c:pt>
                <c:pt idx="3">
                  <c:v>FY 2004</c:v>
                </c:pt>
                <c:pt idx="4">
                  <c:v>FY 2005</c:v>
                </c:pt>
              </c:strCache>
            </c:strRef>
          </c:cat>
          <c:val>
            <c:numRef>
              <c:f>'Chart Data %'!$B$25:$F$25</c:f>
              <c:numCache>
                <c:formatCode>0.0%</c:formatCode>
                <c:ptCount val="5"/>
                <c:pt idx="0">
                  <c:v>3.2454841033463924E-2</c:v>
                </c:pt>
                <c:pt idx="1">
                  <c:v>3.2159632409879887E-2</c:v>
                </c:pt>
                <c:pt idx="2">
                  <c:v>3.0836550925488895E-2</c:v>
                </c:pt>
                <c:pt idx="3">
                  <c:v>2.947149820411259E-2</c:v>
                </c:pt>
                <c:pt idx="4">
                  <c:v>2.8831987645581234E-2</c:v>
                </c:pt>
              </c:numCache>
            </c:numRef>
          </c:val>
        </c:ser>
        <c:ser>
          <c:idx val="9"/>
          <c:order val="9"/>
          <c:tx>
            <c:strRef>
              <c:f>'Chart Data %'!$A$26</c:f>
              <c:strCache>
                <c:ptCount val="1"/>
                <c:pt idx="0">
                  <c:v>Libraries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'Chart Data %'!$B$1:$F$1</c:f>
              <c:strCache>
                <c:ptCount val="5"/>
                <c:pt idx="0">
                  <c:v>FY 2001</c:v>
                </c:pt>
                <c:pt idx="1">
                  <c:v>FY 2002</c:v>
                </c:pt>
                <c:pt idx="2">
                  <c:v>FY 2003</c:v>
                </c:pt>
                <c:pt idx="3">
                  <c:v>FY 2004</c:v>
                </c:pt>
                <c:pt idx="4">
                  <c:v>FY 2005</c:v>
                </c:pt>
              </c:strCache>
            </c:strRef>
          </c:cat>
          <c:val>
            <c:numRef>
              <c:f>'Chart Data %'!$B$26:$F$26</c:f>
              <c:numCache>
                <c:formatCode>0.0%</c:formatCode>
                <c:ptCount val="5"/>
                <c:pt idx="0">
                  <c:v>2.4579795543757103E-2</c:v>
                </c:pt>
                <c:pt idx="1">
                  <c:v>2.4049347368334171E-2</c:v>
                </c:pt>
                <c:pt idx="2">
                  <c:v>2.2978052236929E-2</c:v>
                </c:pt>
                <c:pt idx="3">
                  <c:v>2.2028790628126349E-2</c:v>
                </c:pt>
                <c:pt idx="4">
                  <c:v>2.1642548938859602E-2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172864"/>
        <c:axId val="73174400"/>
        <c:axId val="0"/>
      </c:bar3DChart>
      <c:catAx>
        <c:axId val="7317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17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174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1728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0252144952469173"/>
          <c:y val="0.38200000000000001"/>
          <c:w val="0.99159719005712521"/>
          <c:h val="0.804000000000000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Idaho's College and Universities</a:t>
            </a:r>
            <a:endParaRPr lang="en-U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Revenue Budget for all Funds by Source</a:t>
            </a:r>
            <a:endParaRPr lang="en-U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Fiscal Year 2009</a:t>
            </a:r>
          </a:p>
        </c:rich>
      </c:tx>
      <c:layout>
        <c:manualLayout>
          <c:xMode val="edge"/>
          <c:yMode val="edge"/>
          <c:x val="0.28523862375138737"/>
          <c:y val="1.957585644371941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4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411764705882371"/>
          <c:y val="0.34420880913539981"/>
          <c:w val="0.41065482796892361"/>
          <c:h val="0.48776508972267552"/>
        </c:manualLayout>
      </c:layout>
      <c:pie3DChart>
        <c:varyColors val="1"/>
        <c:ser>
          <c:idx val="0"/>
          <c:order val="0"/>
          <c:tx>
            <c:strRef>
              <c:f>Summary!$N$8:$N$10</c:f>
              <c:strCache>
                <c:ptCount val="1"/>
                <c:pt idx="0">
                  <c:v>Total Operating Budgets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1.5921650193281903E-2"/>
                  <c:y val="1.53373324256164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1727972127790353E-2"/>
                  <c:y val="-5.8382636917530574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Endowment
Funds
0.8%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3831234469719941E-3"/>
                  <c:y val="5.139047667981081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000448612070013E-3"/>
                  <c:y val="1.50824866304435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4723797705087087E-3"/>
                  <c:y val="6.08663558164527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2.9275025416495556E-2"/>
                  <c:y val="8.461291441342978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6.6021713989414721E-4"/>
                  <c:y val="-1.57389543272833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7.6222103757563322E-3"/>
                  <c:y val="-8.81307454838944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Summary!$Q$12:$Q$19</c:f>
              <c:strCache>
                <c:ptCount val="8"/>
                <c:pt idx="0">
                  <c:v>State Funds</c:v>
                </c:pt>
                <c:pt idx="1">
                  <c:v>Endowment Funds</c:v>
                </c:pt>
                <c:pt idx="2">
                  <c:v>One-Time Funds</c:v>
                </c:pt>
                <c:pt idx="3">
                  <c:v>Student Fee Revenue</c:v>
                </c:pt>
                <c:pt idx="4">
                  <c:v>Federal Funds</c:v>
                </c:pt>
                <c:pt idx="5">
                  <c:v>State Grants &amp; Contracts</c:v>
                </c:pt>
                <c:pt idx="6">
                  <c:v>Private Gifts, Grts &amp; Contr</c:v>
                </c:pt>
                <c:pt idx="7">
                  <c:v>Aux Ent &amp; Generated Fds</c:v>
                </c:pt>
              </c:strCache>
            </c:strRef>
          </c:cat>
          <c:val>
            <c:numRef>
              <c:f>Summary!$R$12:$R$19</c:f>
              <c:numCache>
                <c:formatCode>#,##0</c:formatCode>
                <c:ptCount val="8"/>
                <c:pt idx="0">
                  <c:v>327805627</c:v>
                </c:pt>
                <c:pt idx="1">
                  <c:v>9452100</c:v>
                </c:pt>
                <c:pt idx="2">
                  <c:v>4540283</c:v>
                </c:pt>
                <c:pt idx="3">
                  <c:v>207162004</c:v>
                </c:pt>
                <c:pt idx="4">
                  <c:v>306589336</c:v>
                </c:pt>
                <c:pt idx="5">
                  <c:v>18879064</c:v>
                </c:pt>
                <c:pt idx="6">
                  <c:v>49478627</c:v>
                </c:pt>
                <c:pt idx="7">
                  <c:v>203096588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Idaho's College and Universities</a:t>
            </a:r>
            <a:endParaRPr lang="en-U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Expenditure Budget for all Funds by Functional Classification</a:t>
            </a:r>
            <a:endParaRPr lang="en-U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Fiscal Year 2009</a:t>
            </a:r>
          </a:p>
        </c:rich>
      </c:tx>
      <c:layout>
        <c:manualLayout>
          <c:xMode val="edge"/>
          <c:yMode val="edge"/>
          <c:x val="0.18201997780244172"/>
          <c:y val="1.9575856443719411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4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524972253052149"/>
          <c:y val="0.3213703099510607"/>
          <c:w val="0.4495005549389568"/>
          <c:h val="0.53344208809135341"/>
        </c:manualLayout>
      </c:layout>
      <c:pie3DChart>
        <c:varyColors val="1"/>
        <c:ser>
          <c:idx val="0"/>
          <c:order val="0"/>
          <c:tx>
            <c:strRef>
              <c:f>Summary!$N$8:$N$10</c:f>
              <c:strCache>
                <c:ptCount val="1"/>
                <c:pt idx="0">
                  <c:v>Total Operating Budgets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5799767537381933E-2"/>
                  <c:y val="2.08978690061784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8006181524756284E-3"/>
                  <c:y val="2.24017674789015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4124259717257814E-2"/>
                  <c:y val="2.93079515142173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1985516238882978E-2"/>
                  <c:y val="5.28741656069499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2.6969275899336106E-2"/>
                  <c:y val="2.02477382007509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1.041572356174683E-2"/>
                  <c:y val="2.28674433640330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1.2654239529714732E-2"/>
                  <c:y val="1.67359014870286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-7.6333965468520311E-4"/>
                  <c:y val="-2.09067749076226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1"/>
              <c:delete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Summary!$Q$22:$Q$33</c:f>
              <c:strCache>
                <c:ptCount val="12"/>
                <c:pt idx="0">
                  <c:v>Instruction</c:v>
                </c:pt>
                <c:pt idx="1">
                  <c:v>Research</c:v>
                </c:pt>
                <c:pt idx="2">
                  <c:v>Public Service</c:v>
                </c:pt>
                <c:pt idx="3">
                  <c:v>Academic Support</c:v>
                </c:pt>
                <c:pt idx="4">
                  <c:v>Libraries</c:v>
                </c:pt>
                <c:pt idx="5">
                  <c:v>Student Services</c:v>
                </c:pt>
                <c:pt idx="6">
                  <c:v>Institutional Support</c:v>
                </c:pt>
                <c:pt idx="7">
                  <c:v>Physical Plant</c:v>
                </c:pt>
                <c:pt idx="8">
                  <c:v>Scholarships &amp; Fellowships</c:v>
                </c:pt>
                <c:pt idx="9">
                  <c:v>Auxiliary Enterprises   (1) &amp; (2)</c:v>
                </c:pt>
                <c:pt idx="10">
                  <c:v>One-time Replacement Capital</c:v>
                </c:pt>
                <c:pt idx="11">
                  <c:v>Other</c:v>
                </c:pt>
              </c:strCache>
            </c:strRef>
          </c:cat>
          <c:val>
            <c:numRef>
              <c:f>Summary!$R$22:$R$33</c:f>
              <c:numCache>
                <c:formatCode>#,##0</c:formatCode>
                <c:ptCount val="12"/>
                <c:pt idx="0">
                  <c:v>302629972</c:v>
                </c:pt>
                <c:pt idx="1">
                  <c:v>124626905</c:v>
                </c:pt>
                <c:pt idx="2">
                  <c:v>51500107</c:v>
                </c:pt>
                <c:pt idx="3">
                  <c:v>49104474</c:v>
                </c:pt>
                <c:pt idx="4">
                  <c:v>23412128</c:v>
                </c:pt>
                <c:pt idx="5">
                  <c:v>29749000</c:v>
                </c:pt>
                <c:pt idx="6">
                  <c:v>91268376</c:v>
                </c:pt>
                <c:pt idx="7">
                  <c:v>63205860</c:v>
                </c:pt>
                <c:pt idx="8">
                  <c:v>229267194</c:v>
                </c:pt>
                <c:pt idx="9">
                  <c:v>147822542</c:v>
                </c:pt>
                <c:pt idx="10">
                  <c:v>15204067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>
    <oddFooter>&amp;L&amp;"Arial,Bold"CONSENT AGENDA -BAHR - SECTION II&amp;R&amp;"Arial,Bold"&amp;14TAB x&amp;12  Page 10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7" workbookViewId="0"/>
  </sheetViews>
  <pageMargins left="0.75" right="0.75" top="1" bottom="1" header="0.5" footer="0.5"/>
  <pageSetup orientation="landscape" r:id="rId1"/>
  <headerFooter alignWithMargins="0">
    <oddFooter>&amp;L&amp;"Arial,Bold"CONSENT AGENDA -BAHR - SECTION II&amp;R&amp;"Arial,Bold"&amp;14TAB x&amp;12  Page 11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11</xdr:col>
      <xdr:colOff>733425</xdr:colOff>
      <xdr:row>25</xdr:row>
      <xdr:rowOff>28575</xdr:rowOff>
    </xdr:to>
    <xdr:graphicFrame macro="">
      <xdr:nvGraphicFramePr>
        <xdr:cNvPr id="460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0.19103</cdr:x>
      <cdr:y>0.54925</cdr:y>
    </cdr:from>
    <cdr:to>
      <cdr:x>0.21181</cdr:x>
      <cdr:y>0.55513</cdr:y>
    </cdr:to>
    <cdr:sp macro="" textlink="">
      <cdr:nvSpPr>
        <cdr:cNvPr id="513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737185" y="2624195"/>
          <a:ext cx="188623" cy="280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0.19103</cdr:x>
      <cdr:y>0.60707</cdr:y>
    </cdr:from>
    <cdr:to>
      <cdr:x>0.21106</cdr:x>
      <cdr:y>0.60976</cdr:y>
    </cdr:to>
    <cdr:sp macro="" textlink="">
      <cdr:nvSpPr>
        <cdr:cNvPr id="5131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737185" y="2900125"/>
          <a:ext cx="181887" cy="128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0.194</cdr:x>
      <cdr:y>0.66293</cdr:y>
    </cdr:from>
    <cdr:to>
      <cdr:x>0.21181</cdr:x>
      <cdr:y>0.67273</cdr:y>
    </cdr:to>
    <cdr:sp macro="" textlink="">
      <cdr:nvSpPr>
        <cdr:cNvPr id="513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764131" y="3166701"/>
          <a:ext cx="161677" cy="467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0.19103</cdr:x>
      <cdr:y>0.7825</cdr:y>
    </cdr:from>
    <cdr:to>
      <cdr:x>0.20711</cdr:x>
      <cdr:y>0.7825</cdr:y>
    </cdr:to>
    <cdr:sp macro="" textlink="">
      <cdr:nvSpPr>
        <cdr:cNvPr id="5147" name="Line 2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737185" y="3737268"/>
          <a:ext cx="1459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0.73773</cdr:x>
      <cdr:y>0.46913</cdr:y>
    </cdr:from>
    <cdr:to>
      <cdr:x>0.75628</cdr:x>
      <cdr:y>0.47305</cdr:y>
    </cdr:to>
    <cdr:sp macro="" textlink="">
      <cdr:nvSpPr>
        <cdr:cNvPr id="5148" name="Line 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99781" y="2241869"/>
          <a:ext cx="168414" cy="1870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0.73699</cdr:x>
      <cdr:y>0.54263</cdr:y>
    </cdr:from>
    <cdr:to>
      <cdr:x>0.75554</cdr:x>
      <cdr:y>0.54263</cdr:y>
    </cdr:to>
    <cdr:sp macro="" textlink="">
      <cdr:nvSpPr>
        <cdr:cNvPr id="5149" name="Line 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93044" y="2592627"/>
          <a:ext cx="16841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0.73699</cdr:x>
      <cdr:y>0.64652</cdr:y>
    </cdr:from>
    <cdr:to>
      <cdr:x>0.75554</cdr:x>
      <cdr:y>0.64652</cdr:y>
    </cdr:to>
    <cdr:sp macro="" textlink="">
      <cdr:nvSpPr>
        <cdr:cNvPr id="5150" name="Line 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93044" y="3088365"/>
          <a:ext cx="16841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0.73699</cdr:x>
      <cdr:y>0.7825</cdr:y>
    </cdr:from>
    <cdr:to>
      <cdr:x>0.7548</cdr:x>
      <cdr:y>0.78299</cdr:y>
    </cdr:to>
    <cdr:sp macro="" textlink="">
      <cdr:nvSpPr>
        <cdr:cNvPr id="5151" name="Line 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93044" y="3737268"/>
          <a:ext cx="161678" cy="233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0.20785</cdr:x>
      <cdr:y>0.76069</cdr:y>
    </cdr:from>
    <cdr:to>
      <cdr:x>0.24669</cdr:x>
      <cdr:y>0.80871</cdr:y>
    </cdr:to>
    <cdr:sp macro="" textlink="'Chart Data $'!$K$2">
      <cdr:nvSpPr>
        <cdr:cNvPr id="5152" name="Text Box 3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889880" y="3633210"/>
          <a:ext cx="352546" cy="229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0.2034</cdr:x>
      <cdr:y>0.64652</cdr:y>
    </cdr:from>
    <cdr:to>
      <cdr:x>0.24669</cdr:x>
      <cdr:y>0.69184</cdr:y>
    </cdr:to>
    <cdr:sp macro="" textlink="'Chart Data $'!$K$3">
      <cdr:nvSpPr>
        <cdr:cNvPr id="5153" name="Text Box 3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849461" y="3088365"/>
          <a:ext cx="392965" cy="216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0.20562</cdr:x>
      <cdr:y>0.57693</cdr:y>
    </cdr:from>
    <cdr:to>
      <cdr:x>0.2452</cdr:x>
      <cdr:y>0.62079</cdr:y>
    </cdr:to>
    <cdr:sp macro="" textlink="'Chart Data $'!$K$4">
      <cdr:nvSpPr>
        <cdr:cNvPr id="5154" name="Text Box 3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869670" y="2756314"/>
          <a:ext cx="359283" cy="2092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0.20785</cdr:x>
      <cdr:y>0.52107</cdr:y>
    </cdr:from>
    <cdr:to>
      <cdr:x>0.24743</cdr:x>
      <cdr:y>0.56493</cdr:y>
    </cdr:to>
    <cdr:sp macro="" textlink="'Chart Data $'!$K$5">
      <cdr:nvSpPr>
        <cdr:cNvPr id="5155" name="Text Box 3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889880" y="2489738"/>
          <a:ext cx="359283" cy="2092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0.75777</cdr:x>
      <cdr:y>0.76069</cdr:y>
    </cdr:from>
    <cdr:to>
      <cdr:x>0.79784</cdr:x>
      <cdr:y>0.80798</cdr:y>
    </cdr:to>
    <cdr:sp macro="" textlink="'Chart Data $'!$L$2">
      <cdr:nvSpPr>
        <cdr:cNvPr id="5156" name="Text Box 3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881668" y="3633210"/>
          <a:ext cx="363774" cy="2256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0.7548</cdr:x>
      <cdr:y>0.62471</cdr:y>
    </cdr:from>
    <cdr:to>
      <cdr:x>0.79759</cdr:x>
      <cdr:y>0.67273</cdr:y>
    </cdr:to>
    <cdr:sp macro="" textlink="'Chart Data $'!$L$3">
      <cdr:nvSpPr>
        <cdr:cNvPr id="5157" name="Text Box 37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854722" y="2984307"/>
          <a:ext cx="388475" cy="229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0.75232</cdr:x>
      <cdr:y>0.52107</cdr:y>
    </cdr:from>
    <cdr:to>
      <cdr:x>0.79759</cdr:x>
      <cdr:y>0.56836</cdr:y>
    </cdr:to>
    <cdr:sp macro="" textlink="'Chart Data $'!$L$4">
      <cdr:nvSpPr>
        <cdr:cNvPr id="5158" name="Text Box 3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832267" y="2489738"/>
          <a:ext cx="410930" cy="225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0.49951</cdr:x>
      <cdr:y>0.49877</cdr:y>
    </cdr:from>
    <cdr:to>
      <cdr:x>0.51187</cdr:x>
      <cdr:y>0.56493</cdr:y>
    </cdr:to>
    <cdr:sp macro="" textlink="">
      <cdr:nvSpPr>
        <cdr:cNvPr id="5159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7346" y="2383342"/>
          <a:ext cx="112276" cy="3156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45720" tIns="36576" rIns="45720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775" b="0" i="0" strike="noStrike">
              <a:solidFill>
                <a:srgbClr val="000000"/>
              </a:solidFill>
              <a:latin typeface="Arial"/>
              <a:cs typeface="Arial"/>
            </a:rPr>
            <a:t>          </a:t>
          </a:r>
        </a:p>
      </cdr:txBody>
    </cdr:sp>
  </cdr:relSizeAnchor>
  <cdr:relSizeAnchor xmlns:cdr="http://schemas.openxmlformats.org/drawingml/2006/chartDrawing">
    <cdr:from>
      <cdr:x>0.75232</cdr:x>
      <cdr:y>0.44879</cdr:y>
    </cdr:from>
    <cdr:to>
      <cdr:x>0.80279</cdr:x>
      <cdr:y>0.49608</cdr:y>
    </cdr:to>
    <cdr:sp macro="" textlink="'Chart Data $'!$L$5">
      <cdr:nvSpPr>
        <cdr:cNvPr id="5160" name="Text Box 4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832267" y="2144826"/>
          <a:ext cx="458085" cy="2256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11</xdr:col>
      <xdr:colOff>733425</xdr:colOff>
      <xdr:row>25</xdr:row>
      <xdr:rowOff>28575</xdr:rowOff>
    </xdr:to>
    <xdr:graphicFrame macro="">
      <xdr:nvGraphicFramePr>
        <xdr:cNvPr id="481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0.19771</cdr:x>
      <cdr:y>0.64872</cdr:y>
    </cdr:from>
    <cdr:to>
      <cdr:x>0.21552</cdr:x>
      <cdr:y>0.65068</cdr:y>
    </cdr:to>
    <cdr:sp macro="" textlink="">
      <cdr:nvSpPr>
        <cdr:cNvPr id="6154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797814" y="3098888"/>
          <a:ext cx="161677" cy="935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0.19771</cdr:x>
      <cdr:y>0.6965</cdr:y>
    </cdr:from>
    <cdr:to>
      <cdr:x>0.21626</cdr:x>
      <cdr:y>0.6965</cdr:y>
    </cdr:to>
    <cdr:sp macro="" textlink="">
      <cdr:nvSpPr>
        <cdr:cNvPr id="6155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797814" y="3326881"/>
          <a:ext cx="1684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0.19771</cdr:x>
      <cdr:y>0.74452</cdr:y>
    </cdr:from>
    <cdr:to>
      <cdr:x>0.21552</cdr:x>
      <cdr:y>0.74575</cdr:y>
    </cdr:to>
    <cdr:sp macro="" textlink="">
      <cdr:nvSpPr>
        <cdr:cNvPr id="6156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797814" y="3556043"/>
          <a:ext cx="161677" cy="5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0.19771</cdr:x>
      <cdr:y>0.82464</cdr:y>
    </cdr:from>
    <cdr:to>
      <cdr:x>0.21552</cdr:x>
      <cdr:y>0.82464</cdr:y>
    </cdr:to>
    <cdr:sp macro="" textlink="">
      <cdr:nvSpPr>
        <cdr:cNvPr id="6157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797814" y="3938369"/>
          <a:ext cx="16167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0.74045</cdr:x>
      <cdr:y>0.55684</cdr:y>
    </cdr:from>
    <cdr:to>
      <cdr:x>0.75653</cdr:x>
      <cdr:y>0.55807</cdr:y>
    </cdr:to>
    <cdr:sp macro="" textlink="">
      <cdr:nvSpPr>
        <cdr:cNvPr id="615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724482" y="2660440"/>
          <a:ext cx="145958" cy="5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0.74045</cdr:x>
      <cdr:y>0.62079</cdr:y>
    </cdr:from>
    <cdr:to>
      <cdr:x>0.75653</cdr:x>
      <cdr:y>0.62275</cdr:y>
    </cdr:to>
    <cdr:sp macro="" textlink="">
      <cdr:nvSpPr>
        <cdr:cNvPr id="6159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724482" y="2965600"/>
          <a:ext cx="145958" cy="935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0.73575</cdr:x>
      <cdr:y>0.71463</cdr:y>
    </cdr:from>
    <cdr:to>
      <cdr:x>0.75133</cdr:x>
      <cdr:y>0.71463</cdr:y>
    </cdr:to>
    <cdr:sp macro="" textlink="">
      <cdr:nvSpPr>
        <cdr:cNvPr id="6160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81817" y="3413401"/>
          <a:ext cx="14146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0.74045</cdr:x>
      <cdr:y>0.84399</cdr:y>
    </cdr:from>
    <cdr:to>
      <cdr:x>0.75653</cdr:x>
      <cdr:y>0.84399</cdr:y>
    </cdr:to>
    <cdr:sp macro="" textlink="">
      <cdr:nvSpPr>
        <cdr:cNvPr id="6161" name="Line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724482" y="4030736"/>
          <a:ext cx="1459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0.21552</cdr:x>
      <cdr:y>0.79622</cdr:y>
    </cdr:from>
    <cdr:to>
      <cdr:x>0.25732</cdr:x>
      <cdr:y>0.84399</cdr:y>
    </cdr:to>
    <cdr:sp macro="" textlink="'Chart Data $'!$K$17">
      <cdr:nvSpPr>
        <cdr:cNvPr id="6162" name="Text Box 1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959491" y="3802743"/>
          <a:ext cx="379493" cy="227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0.20686</cdr:x>
      <cdr:y>0.71463</cdr:y>
    </cdr:from>
    <cdr:to>
      <cdr:x>0.25732</cdr:x>
      <cdr:y>0.76192</cdr:y>
    </cdr:to>
    <cdr:sp macro="" textlink="'Chart Data $'!$K$18">
      <cdr:nvSpPr>
        <cdr:cNvPr id="6163" name="Text Box 1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880898" y="3413401"/>
          <a:ext cx="458086" cy="225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0.21849</cdr:x>
      <cdr:y>0.67273</cdr:y>
    </cdr:from>
    <cdr:to>
      <cdr:x>0.25732</cdr:x>
      <cdr:y>0.72051</cdr:y>
    </cdr:to>
    <cdr:sp macro="" textlink="'Chart Data $'!$K$19">
      <cdr:nvSpPr>
        <cdr:cNvPr id="6164" name="Text Box 2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986437" y="3213469"/>
          <a:ext cx="352547" cy="227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0.21007</cdr:x>
      <cdr:y>0.61883</cdr:y>
    </cdr:from>
    <cdr:to>
      <cdr:x>0.25732</cdr:x>
      <cdr:y>0.66612</cdr:y>
    </cdr:to>
    <cdr:sp macro="" textlink="'Chart Data $'!$K$20">
      <cdr:nvSpPr>
        <cdr:cNvPr id="6165" name="Text Box 2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910090" y="2956246"/>
          <a:ext cx="428894" cy="225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0.75133</cdr:x>
      <cdr:y>0.79622</cdr:y>
    </cdr:from>
    <cdr:to>
      <cdr:x>0.79562</cdr:x>
      <cdr:y>0.84399</cdr:y>
    </cdr:to>
    <cdr:sp macro="" textlink="'Chart Data $'!$L$17">
      <cdr:nvSpPr>
        <cdr:cNvPr id="6166" name="Text Box 2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823285" y="3802743"/>
          <a:ext cx="401947" cy="227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0.75133</cdr:x>
      <cdr:y>0.68229</cdr:y>
    </cdr:from>
    <cdr:to>
      <cdr:x>0.79537</cdr:x>
      <cdr:y>0.72957</cdr:y>
    </cdr:to>
    <cdr:sp macro="" textlink="'Chart Data $'!$L$18">
      <cdr:nvSpPr>
        <cdr:cNvPr id="6167" name="Text Box 2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823285" y="3259068"/>
          <a:ext cx="399702" cy="2256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0.75133</cdr:x>
      <cdr:y>0.60094</cdr:y>
    </cdr:from>
    <cdr:to>
      <cdr:x>0.79537</cdr:x>
      <cdr:y>0.64799</cdr:y>
    </cdr:to>
    <cdr:sp macro="" textlink="'Chart Data $'!$L$19">
      <cdr:nvSpPr>
        <cdr:cNvPr id="6168" name="Text Box 2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823285" y="2870895"/>
          <a:ext cx="399702" cy="224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0.75133</cdr:x>
      <cdr:y>0.53871</cdr:y>
    </cdr:from>
    <cdr:to>
      <cdr:x>0.79537</cdr:x>
      <cdr:y>0.586</cdr:y>
    </cdr:to>
    <cdr:sp macro="" textlink="'Chart Data $'!$L$20">
      <cdr:nvSpPr>
        <cdr:cNvPr id="6169" name="Text Box 2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823285" y="2573920"/>
          <a:ext cx="399702" cy="225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11</xdr:col>
      <xdr:colOff>733425</xdr:colOff>
      <xdr:row>25</xdr:row>
      <xdr:rowOff>28575</xdr:rowOff>
    </xdr:to>
    <xdr:graphicFrame macro="">
      <xdr:nvGraphicFramePr>
        <xdr:cNvPr id="501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11</xdr:col>
      <xdr:colOff>733425</xdr:colOff>
      <xdr:row>25</xdr:row>
      <xdr:rowOff>28575</xdr:rowOff>
    </xdr:to>
    <xdr:graphicFrame macro="">
      <xdr:nvGraphicFramePr>
        <xdr:cNvPr id="522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0.52325</cdr:x>
      <cdr:y>0.609</cdr:y>
    </cdr:from>
    <cdr:to>
      <cdr:x>0.60375</cdr:x>
      <cdr:y>0.749</cdr:y>
    </cdr:to>
    <cdr:sp macro="" textlink="">
      <cdr:nvSpPr>
        <cdr:cNvPr id="153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90545" y="3555844"/>
          <a:ext cx="690853" cy="817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0.58525</cdr:x>
      <cdr:y>0.6495</cdr:y>
    </cdr:from>
    <cdr:to>
      <cdr:x>0.65175</cdr:x>
      <cdr:y>0.72375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2630" y="3792317"/>
          <a:ext cx="570705" cy="4335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General</a:t>
          </a:r>
        </a:p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Revenue</a:t>
          </a:r>
        </a:p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66.1%</a:t>
          </a:r>
        </a:p>
        <a:p xmlns:a="http://schemas.openxmlformats.org/drawingml/2006/main"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0.52925</cdr:x>
      <cdr:y>0.70175</cdr:y>
    </cdr:from>
    <cdr:to>
      <cdr:x>0.614</cdr:x>
      <cdr:y>0.76375</cdr:y>
    </cdr:to>
    <cdr:sp macro="" textlink="">
      <cdr:nvSpPr>
        <cdr:cNvPr id="153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2037" y="4097395"/>
          <a:ext cx="727326" cy="3620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33.9%</a:t>
          </a:r>
        </a:p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Institutional</a:t>
          </a:r>
        </a:p>
        <a:p xmlns:a="http://schemas.openxmlformats.org/drawingml/2006/main"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0.60375</cdr:x>
      <cdr:y>0.749</cdr:y>
    </cdr:from>
    <cdr:to>
      <cdr:x>0.604</cdr:x>
      <cdr:y>0.795</cdr:y>
    </cdr:to>
    <cdr:sp macro="" textlink="">
      <cdr:nvSpPr>
        <cdr:cNvPr id="153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181398" y="4373280"/>
          <a:ext cx="2145" cy="26858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0.60375</cdr:x>
      <cdr:y>0.377</cdr:y>
    </cdr:from>
    <cdr:to>
      <cdr:x>0.81675</cdr:x>
      <cdr:y>0.7945</cdr:y>
    </cdr:to>
    <cdr:sp macro="" textlink="">
      <cdr:nvSpPr>
        <cdr:cNvPr id="15365" name="AutoShape 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5181398" y="2201237"/>
          <a:ext cx="1827971" cy="2437709"/>
        </a:xfrm>
        <a:prstGeom xmlns:a="http://schemas.openxmlformats.org/drawingml/2006/main" prst="rightBracket">
          <a:avLst>
            <a:gd name="adj" fmla="val 11113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0.8445</cdr:x>
      <cdr:y>0.50075</cdr:y>
    </cdr:from>
    <cdr:to>
      <cdr:x>0.95775</cdr:x>
      <cdr:y>0.672</cdr:y>
    </cdr:to>
    <cdr:sp macro="" textlink="">
      <cdr:nvSpPr>
        <cdr:cNvPr id="1536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47520" y="2923792"/>
          <a:ext cx="971914" cy="999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Arial"/>
              <a:cs typeface="Arial"/>
            </a:rPr>
            <a:t>State, endowment funds, and one-time capital equal 31.3% of all revenues.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8"/>
  <sheetViews>
    <sheetView showOutlineSymbols="0" view="pageBreakPreview" zoomScale="60" zoomScaleNormal="87" workbookViewId="0">
      <selection activeCell="C18" sqref="C18"/>
    </sheetView>
  </sheetViews>
  <sheetFormatPr defaultColWidth="9.6640625" defaultRowHeight="15" x14ac:dyDescent="0.2"/>
  <cols>
    <col min="1" max="1" width="3.109375" style="15" bestFit="1" customWidth="1"/>
    <col min="2" max="2" width="1.5546875" style="1" customWidth="1"/>
    <col min="3" max="3" width="24.5546875" style="1" customWidth="1"/>
    <col min="4" max="4" width="0.88671875" style="83" customWidth="1"/>
    <col min="5" max="5" width="12.77734375" style="1" bestFit="1" customWidth="1"/>
    <col min="6" max="7" width="11.77734375" style="1" bestFit="1" customWidth="1"/>
    <col min="8" max="8" width="0.88671875" style="1" customWidth="1"/>
    <col min="9" max="9" width="13" style="1" bestFit="1" customWidth="1"/>
    <col min="10" max="10" width="0.88671875" style="1" customWidth="1"/>
    <col min="11" max="12" width="12.77734375" style="1" bestFit="1" customWidth="1"/>
    <col min="13" max="13" width="3.21875" style="1" bestFit="1" customWidth="1"/>
    <col min="14" max="14" width="14" style="1" bestFit="1" customWidth="1"/>
    <col min="15" max="15" width="0.88671875" style="1" customWidth="1"/>
    <col min="16" max="16" width="8.44140625" style="1" bestFit="1" customWidth="1"/>
    <col min="17" max="17" width="25" style="1" customWidth="1"/>
    <col min="18" max="18" width="11.109375" style="1" bestFit="1" customWidth="1"/>
    <col min="19" max="16384" width="9.6640625" style="1"/>
  </cols>
  <sheetData>
    <row r="1" spans="1:25" x14ac:dyDescent="0.2">
      <c r="B1" s="2"/>
      <c r="C1" s="3"/>
      <c r="D1" s="6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3.25" x14ac:dyDescent="0.35">
      <c r="B2" s="79" t="s">
        <v>0</v>
      </c>
      <c r="C2" s="5"/>
      <c r="D2" s="57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"/>
      <c r="R2" s="2"/>
      <c r="S2" s="2"/>
      <c r="T2" s="2"/>
      <c r="U2" s="2"/>
      <c r="V2" s="2"/>
      <c r="W2" s="2"/>
      <c r="X2" s="2"/>
      <c r="Y2" s="2"/>
    </row>
    <row r="3" spans="1:25" ht="23.25" x14ac:dyDescent="0.35">
      <c r="B3" s="79" t="s">
        <v>1</v>
      </c>
      <c r="C3" s="5"/>
      <c r="D3" s="57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"/>
      <c r="R3" s="2"/>
      <c r="S3" s="2"/>
      <c r="T3" s="2"/>
      <c r="U3" s="2"/>
      <c r="V3" s="2"/>
      <c r="W3" s="2"/>
      <c r="X3" s="2"/>
      <c r="Y3" s="2"/>
    </row>
    <row r="4" spans="1:25" ht="23.25" x14ac:dyDescent="0.35">
      <c r="B4" s="80" t="s">
        <v>114</v>
      </c>
      <c r="C4" s="5"/>
      <c r="D4" s="5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2"/>
      <c r="R4" s="2"/>
      <c r="S4" s="2"/>
      <c r="T4" s="2"/>
      <c r="U4" s="2"/>
      <c r="V4" s="2"/>
      <c r="W4" s="2"/>
      <c r="X4" s="2"/>
      <c r="Y4" s="2"/>
    </row>
    <row r="5" spans="1:25" ht="23.25" x14ac:dyDescent="0.35">
      <c r="B5" s="80"/>
      <c r="C5" s="5"/>
      <c r="D5" s="57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2"/>
      <c r="R5" s="2"/>
      <c r="S5" s="2"/>
      <c r="T5" s="2"/>
      <c r="U5" s="2"/>
      <c r="V5" s="2"/>
      <c r="W5" s="2"/>
      <c r="X5" s="2"/>
      <c r="Y5" s="2"/>
    </row>
    <row r="6" spans="1:25" s="103" customFormat="1" ht="15.75" x14ac:dyDescent="0.25">
      <c r="C6" s="103" t="s">
        <v>8</v>
      </c>
      <c r="D6" s="104"/>
      <c r="E6" s="103" t="s">
        <v>92</v>
      </c>
      <c r="F6" s="103" t="s">
        <v>93</v>
      </c>
      <c r="G6" s="103" t="s">
        <v>94</v>
      </c>
      <c r="I6" s="103" t="s">
        <v>95</v>
      </c>
      <c r="K6" s="103" t="s">
        <v>96</v>
      </c>
      <c r="L6" s="103" t="s">
        <v>97</v>
      </c>
      <c r="N6" s="103" t="s">
        <v>98</v>
      </c>
      <c r="P6" s="103" t="s">
        <v>99</v>
      </c>
    </row>
    <row r="7" spans="1:25" x14ac:dyDescent="0.2">
      <c r="B7" s="2"/>
      <c r="C7" s="2"/>
      <c r="D7" s="64"/>
      <c r="E7" s="5" t="s">
        <v>39</v>
      </c>
      <c r="F7" s="5"/>
      <c r="G7" s="5"/>
      <c r="H7" s="58"/>
      <c r="I7" s="58"/>
      <c r="J7" s="5"/>
      <c r="K7" s="5"/>
      <c r="L7" s="5"/>
      <c r="M7" s="5"/>
      <c r="N7" s="5"/>
      <c r="O7" s="97"/>
      <c r="P7" s="97"/>
      <c r="Q7" s="2"/>
      <c r="R7" s="2"/>
      <c r="S7" s="2"/>
      <c r="T7" s="2"/>
      <c r="U7" s="2"/>
      <c r="V7" s="2"/>
      <c r="W7" s="2"/>
      <c r="X7" s="2"/>
      <c r="Y7" s="2"/>
    </row>
    <row r="8" spans="1:25" ht="20.100000000000001" customHeight="1" x14ac:dyDescent="0.2">
      <c r="B8" s="2"/>
      <c r="C8" s="2"/>
      <c r="D8" s="64"/>
      <c r="E8" s="126" t="s">
        <v>40</v>
      </c>
      <c r="F8" s="126"/>
      <c r="G8" s="126"/>
      <c r="H8" s="57"/>
      <c r="I8" s="59" t="s">
        <v>64</v>
      </c>
      <c r="J8" s="7"/>
      <c r="K8" s="6" t="s">
        <v>47</v>
      </c>
      <c r="L8" s="6"/>
      <c r="M8" s="7"/>
      <c r="N8" s="8" t="s">
        <v>52</v>
      </c>
      <c r="O8" s="2"/>
      <c r="P8" s="9" t="s">
        <v>65</v>
      </c>
      <c r="Q8" s="2"/>
      <c r="R8" s="2"/>
      <c r="S8" s="2"/>
      <c r="T8" s="2"/>
      <c r="U8" s="2"/>
      <c r="V8" s="2"/>
      <c r="W8" s="2"/>
      <c r="X8" s="2"/>
      <c r="Y8" s="2"/>
    </row>
    <row r="9" spans="1:25" ht="28.5" customHeight="1" x14ac:dyDescent="0.2">
      <c r="B9" s="2"/>
      <c r="C9" s="2"/>
      <c r="D9" s="64"/>
      <c r="E9" s="8" t="s">
        <v>41</v>
      </c>
      <c r="F9" s="115" t="s">
        <v>107</v>
      </c>
      <c r="G9" s="8" t="s">
        <v>43</v>
      </c>
      <c r="H9" s="56"/>
      <c r="I9" s="56" t="s">
        <v>45</v>
      </c>
      <c r="J9" s="4"/>
      <c r="K9" s="8" t="s">
        <v>48</v>
      </c>
      <c r="L9" s="8" t="s">
        <v>50</v>
      </c>
      <c r="M9" s="4"/>
      <c r="N9" s="9" t="s">
        <v>53</v>
      </c>
      <c r="O9" s="2"/>
      <c r="P9" s="9" t="s">
        <v>100</v>
      </c>
      <c r="Q9" s="2"/>
      <c r="R9" s="2"/>
      <c r="S9" s="2"/>
      <c r="T9" s="2"/>
      <c r="U9" s="2"/>
      <c r="V9" s="2"/>
      <c r="W9" s="2"/>
      <c r="X9" s="2"/>
      <c r="Y9" s="2"/>
    </row>
    <row r="10" spans="1:25" ht="20.100000000000001" customHeight="1" x14ac:dyDescent="0.2">
      <c r="B10" s="2"/>
      <c r="C10" s="2"/>
      <c r="D10" s="64"/>
      <c r="E10" s="9" t="s">
        <v>42</v>
      </c>
      <c r="F10" s="9" t="s">
        <v>42</v>
      </c>
      <c r="G10" s="9" t="s">
        <v>44</v>
      </c>
      <c r="H10" s="9"/>
      <c r="I10" s="9" t="s">
        <v>82</v>
      </c>
      <c r="J10" s="4"/>
      <c r="K10" s="9" t="s">
        <v>49</v>
      </c>
      <c r="L10" s="9" t="s">
        <v>51</v>
      </c>
      <c r="M10" s="4"/>
      <c r="N10" s="9" t="s">
        <v>54</v>
      </c>
      <c r="O10" s="2"/>
      <c r="P10" s="9" t="s">
        <v>52</v>
      </c>
      <c r="Q10" s="2"/>
      <c r="R10" s="2"/>
      <c r="S10" s="2"/>
      <c r="T10" s="2"/>
      <c r="U10" s="2"/>
      <c r="V10" s="2"/>
      <c r="W10" s="2"/>
      <c r="X10" s="2"/>
      <c r="Y10" s="2"/>
    </row>
    <row r="11" spans="1:25" ht="15.75" x14ac:dyDescent="0.25">
      <c r="B11" s="98" t="s">
        <v>90</v>
      </c>
      <c r="C11" s="2"/>
      <c r="D11" s="64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61"/>
      <c r="Q11" s="2"/>
      <c r="R11" s="2"/>
      <c r="S11" s="2"/>
      <c r="T11" s="2"/>
      <c r="U11" s="2"/>
      <c r="V11" s="2"/>
      <c r="W11" s="2"/>
      <c r="X11" s="2"/>
      <c r="Y11" s="2"/>
    </row>
    <row r="12" spans="1:25" ht="20.100000000000001" customHeight="1" x14ac:dyDescent="0.2">
      <c r="B12" s="2"/>
      <c r="C12" s="2" t="s">
        <v>9</v>
      </c>
      <c r="D12" s="64"/>
      <c r="E12" s="2"/>
      <c r="F12" s="2" t="s">
        <v>8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 t="s">
        <v>56</v>
      </c>
      <c r="R12" s="2">
        <f>N13</f>
        <v>327805627</v>
      </c>
      <c r="S12" s="121">
        <f t="shared" ref="S12:S20" si="0">+R12/R$20</f>
        <v>0.29086474840446142</v>
      </c>
      <c r="T12" s="2"/>
      <c r="U12" s="2"/>
      <c r="V12" s="2"/>
      <c r="W12" s="2"/>
      <c r="X12" s="2"/>
      <c r="Y12" s="2"/>
    </row>
    <row r="13" spans="1:25" ht="20.100000000000001" customHeight="1" x14ac:dyDescent="0.2">
      <c r="A13" s="15">
        <v>1</v>
      </c>
      <c r="B13" s="2"/>
      <c r="C13" s="2" t="s">
        <v>10</v>
      </c>
      <c r="D13" s="81"/>
      <c r="E13" s="20">
        <f>(BSU!E13+ISU!E13+UI!E13+LCSC!E13)</f>
        <v>270806000</v>
      </c>
      <c r="F13" s="20">
        <f>(BSU!F13+ISU!F13+UI!F13+LCSC!F13)</f>
        <v>22466627</v>
      </c>
      <c r="G13" s="20">
        <f>(BSU!G13+ISU!G13+UI!G13+LCSC!G13)</f>
        <v>34533000</v>
      </c>
      <c r="H13" s="20"/>
      <c r="I13" s="20">
        <f>(BSU!I13+ISU!I13+UI!I13+LCSC!I13)</f>
        <v>0</v>
      </c>
      <c r="J13" s="20"/>
      <c r="K13" s="20">
        <f>(BSU!K13+ISU!K13+UI!K13+LCSC!K13)</f>
        <v>0</v>
      </c>
      <c r="L13" s="20">
        <f>(BSU!L13+ISU!L13+UI!L13+LCSC!L13)</f>
        <v>0</v>
      </c>
      <c r="M13" s="20"/>
      <c r="N13" s="20">
        <f t="shared" ref="N13:N18" si="1">SUM(E13:L13)</f>
        <v>327805627</v>
      </c>
      <c r="O13" s="20"/>
      <c r="P13" s="62">
        <f t="shared" ref="P13:P18" si="2">+N13/$N$32</f>
        <v>0.28907510481378695</v>
      </c>
      <c r="Q13" s="2" t="s">
        <v>57</v>
      </c>
      <c r="R13" s="2">
        <f>N15</f>
        <v>9452100</v>
      </c>
      <c r="S13" s="121">
        <f t="shared" si="0"/>
        <v>8.3869295153795823E-3</v>
      </c>
      <c r="T13" s="2"/>
      <c r="U13" s="2"/>
      <c r="V13" s="2"/>
      <c r="W13" s="2"/>
      <c r="X13" s="2"/>
      <c r="Y13" s="2"/>
    </row>
    <row r="14" spans="1:25" ht="20.100000000000001" customHeight="1" x14ac:dyDescent="0.2">
      <c r="A14" s="15">
        <f>+A13+1</f>
        <v>2</v>
      </c>
      <c r="B14" s="2"/>
      <c r="C14" s="2" t="s">
        <v>108</v>
      </c>
      <c r="D14" s="82"/>
      <c r="E14" s="23">
        <f>(BSU!E14+ISU!E14+UI!E14+LCSC!E14)</f>
        <v>4521083</v>
      </c>
      <c r="F14" s="23">
        <f>(BSU!F14+ISU!F14+UI!F14+LCSC!F14)</f>
        <v>0</v>
      </c>
      <c r="G14" s="23">
        <f>(BSU!G14+ISU!G14+UI!G14+LCSC!G14)</f>
        <v>19200</v>
      </c>
      <c r="H14" s="23"/>
      <c r="I14" s="23">
        <f>(BSU!I14+ISU!I14+UI!I14+LCSC!I14)</f>
        <v>0</v>
      </c>
      <c r="J14" s="23"/>
      <c r="K14" s="23">
        <f>(BSU!K14+ISU!K14+UI!K14+LCSC!K14)</f>
        <v>0</v>
      </c>
      <c r="L14" s="23">
        <f>(BSU!L14+ISU!L14+UI!L14+LCSC!L14)</f>
        <v>0</v>
      </c>
      <c r="M14" s="23"/>
      <c r="N14" s="23">
        <f t="shared" si="1"/>
        <v>4540283</v>
      </c>
      <c r="O14" s="23"/>
      <c r="P14" s="62">
        <f t="shared" si="2"/>
        <v>4.0038445835136778E-3</v>
      </c>
      <c r="Q14" s="2" t="s">
        <v>89</v>
      </c>
      <c r="R14" s="2">
        <f>N14</f>
        <v>4540283</v>
      </c>
      <c r="S14" s="121">
        <f t="shared" si="0"/>
        <v>4.0286321030116225E-3</v>
      </c>
      <c r="T14" s="2"/>
      <c r="U14" s="2"/>
      <c r="V14" s="2"/>
      <c r="W14" s="2"/>
      <c r="X14" s="2"/>
      <c r="Y14" s="2"/>
    </row>
    <row r="15" spans="1:25" ht="20.100000000000001" customHeight="1" x14ac:dyDescent="0.2">
      <c r="A15" s="15">
        <f>+A14+1</f>
        <v>3</v>
      </c>
      <c r="B15" s="2"/>
      <c r="C15" s="2" t="s">
        <v>11</v>
      </c>
      <c r="D15" s="82"/>
      <c r="E15" s="23">
        <f>(BSU!E15+ISU!E15+UI!E15+LCSC!E15)</f>
        <v>9452100</v>
      </c>
      <c r="F15" s="23">
        <f>(BSU!F15+ISU!F15+UI!F15+LCSC!F15)</f>
        <v>0</v>
      </c>
      <c r="G15" s="23">
        <f>(BSU!G15+ISU!G15+UI!G15+LCSC!G15)</f>
        <v>0</v>
      </c>
      <c r="H15" s="23"/>
      <c r="I15" s="23">
        <f>(BSU!I15+ISU!I15+UI!I15+LCSC!I15)</f>
        <v>0</v>
      </c>
      <c r="J15" s="23"/>
      <c r="K15" s="23">
        <f>(BSU!K15+ISU!K15+UI!K15+LCSC!K15)</f>
        <v>0</v>
      </c>
      <c r="L15" s="23">
        <f>(BSU!L15+ISU!L15+UI!L15+LCSC!L15)</f>
        <v>0</v>
      </c>
      <c r="M15" s="23"/>
      <c r="N15" s="23">
        <f t="shared" si="1"/>
        <v>9452100</v>
      </c>
      <c r="O15" s="23"/>
      <c r="P15" s="62">
        <f t="shared" si="2"/>
        <v>8.3353260992386664E-3</v>
      </c>
      <c r="Q15" s="2" t="s">
        <v>58</v>
      </c>
      <c r="R15" s="2">
        <f>N16+N22</f>
        <v>207162004</v>
      </c>
      <c r="S15" s="121">
        <f t="shared" si="0"/>
        <v>0.1838166254919841</v>
      </c>
      <c r="T15" s="2"/>
      <c r="U15" s="2" t="s">
        <v>111</v>
      </c>
      <c r="V15" s="2"/>
      <c r="W15" s="2" t="s">
        <v>113</v>
      </c>
      <c r="X15" s="2"/>
      <c r="Y15" s="92">
        <f>+N16/(N$16+N$22)</f>
        <v>0.66230551139097882</v>
      </c>
    </row>
    <row r="16" spans="1:25" ht="20.100000000000001" customHeight="1" x14ac:dyDescent="0.2">
      <c r="A16" s="15">
        <f t="shared" ref="A16:A62" si="3">+A15+1</f>
        <v>4</v>
      </c>
      <c r="B16" s="2"/>
      <c r="C16" s="2" t="s">
        <v>12</v>
      </c>
      <c r="D16" s="82"/>
      <c r="E16" s="23">
        <f>(BSU!E16+ISU!E16+UI!E16+LCSC!E16)</f>
        <v>137051817</v>
      </c>
      <c r="F16" s="23">
        <f>(BSU!F16+ISU!F16+UI!F16+LCSC!F16)</f>
        <v>0</v>
      </c>
      <c r="G16" s="23">
        <f>(BSU!G16+ISU!G16+UI!G16+LCSC!G16)</f>
        <v>152720</v>
      </c>
      <c r="H16" s="23"/>
      <c r="I16" s="23">
        <f>(BSU!I16+ISU!I16+UI!I16+LCSC!I16)</f>
        <v>0</v>
      </c>
      <c r="J16" s="23"/>
      <c r="K16" s="23">
        <f>(BSU!K16+ISU!K16+UI!K16+LCSC!K16)</f>
        <v>0</v>
      </c>
      <c r="L16" s="23">
        <f>(BSU!L16+ISU!L16+UI!L16+LCSC!L16)</f>
        <v>0</v>
      </c>
      <c r="M16" s="23"/>
      <c r="N16" s="23">
        <f t="shared" si="1"/>
        <v>137204537</v>
      </c>
      <c r="O16" s="23"/>
      <c r="P16" s="62">
        <f t="shared" si="2"/>
        <v>0.12099370067922022</v>
      </c>
      <c r="Q16" s="2" t="s">
        <v>59</v>
      </c>
      <c r="R16" s="2">
        <f>N23+N24</f>
        <v>306589336</v>
      </c>
      <c r="S16" s="121">
        <f t="shared" si="0"/>
        <v>0.27203935117053646</v>
      </c>
      <c r="T16" s="2"/>
      <c r="U16" s="2"/>
      <c r="V16" s="2"/>
      <c r="W16" s="2" t="s">
        <v>112</v>
      </c>
      <c r="X16" s="2"/>
      <c r="Y16" s="92">
        <f>+N22/(N$16+N$22)</f>
        <v>0.33769448860902118</v>
      </c>
    </row>
    <row r="17" spans="1:25" ht="20.100000000000001" customHeight="1" x14ac:dyDescent="0.2">
      <c r="A17" s="15">
        <f t="shared" ref="A17:A32" si="4">+A16+1</f>
        <v>5</v>
      </c>
      <c r="B17" s="2"/>
      <c r="C17" s="29" t="s">
        <v>109</v>
      </c>
      <c r="D17" s="82"/>
      <c r="E17" s="23">
        <f>(BSU!E17+ISU!E17+UI!E17+LCSC!E17)</f>
        <v>1656600</v>
      </c>
      <c r="F17" s="23">
        <f>(BSU!F17+ISU!F17+UI!F17+LCSC!F17)</f>
        <v>0</v>
      </c>
      <c r="G17" s="23">
        <f>(BSU!G17+ISU!G17+UI!G17+LCSC!G17)</f>
        <v>0</v>
      </c>
      <c r="H17" s="23"/>
      <c r="I17" s="23">
        <f>(BSU!I17+ISU!I17+UI!I17+LCSC!I17)</f>
        <v>0</v>
      </c>
      <c r="J17" s="23"/>
      <c r="K17" s="23">
        <f>(BSU!K17+ISU!K17+UI!K17+LCSC!K17)</f>
        <v>0</v>
      </c>
      <c r="L17" s="23">
        <f>(BSU!L17+ISU!L17+UI!L17+LCSC!L17)</f>
        <v>0</v>
      </c>
      <c r="M17" s="23"/>
      <c r="N17" s="23">
        <f t="shared" si="1"/>
        <v>1656600</v>
      </c>
      <c r="O17" s="23"/>
      <c r="P17" s="62">
        <f t="shared" si="2"/>
        <v>1.460871257815594E-3</v>
      </c>
      <c r="Q17" s="2" t="s">
        <v>17</v>
      </c>
      <c r="R17" s="2">
        <f>N25</f>
        <v>18879064</v>
      </c>
      <c r="S17" s="121">
        <f t="shared" si="0"/>
        <v>1.6751555642062623E-2</v>
      </c>
      <c r="T17" s="2"/>
      <c r="U17" s="2"/>
      <c r="V17" s="2"/>
      <c r="W17" s="2"/>
      <c r="X17" s="2"/>
      <c r="Y17" s="92">
        <f>+Y15+Y16</f>
        <v>1</v>
      </c>
    </row>
    <row r="18" spans="1:25" ht="20.100000000000001" customHeight="1" x14ac:dyDescent="0.2">
      <c r="A18" s="15">
        <f t="shared" si="4"/>
        <v>6</v>
      </c>
      <c r="B18" s="2"/>
      <c r="C18" s="69" t="s">
        <v>115</v>
      </c>
      <c r="D18" s="82"/>
      <c r="E18" s="23">
        <f>(BSU!E18+ISU!E18+UI!E18+LCSC!E18)</f>
        <v>5320600</v>
      </c>
      <c r="F18" s="23">
        <f>(BSU!F18+ISU!F18+UI!F18+LCSC!F18)</f>
        <v>0</v>
      </c>
      <c r="G18" s="23">
        <f>(BSU!G18+ISU!G18+UI!G18+LCSC!G18)</f>
        <v>0</v>
      </c>
      <c r="H18" s="23"/>
      <c r="I18" s="23">
        <f>(BSU!I18+ISU!I18+UI!I18+LCSC!I18)</f>
        <v>0</v>
      </c>
      <c r="J18" s="23"/>
      <c r="K18" s="23">
        <f>(BSU!K18+ISU!K18+UI!K18+LCSC!K18)</f>
        <v>0</v>
      </c>
      <c r="L18" s="23">
        <f>(BSU!L18+ISU!L18+UI!L18+LCSC!L18)</f>
        <v>0</v>
      </c>
      <c r="M18" s="23"/>
      <c r="N18" s="23">
        <f t="shared" si="1"/>
        <v>5320600</v>
      </c>
      <c r="O18" s="23"/>
      <c r="P18" s="62">
        <f t="shared" si="2"/>
        <v>4.6919664459336291E-3</v>
      </c>
      <c r="Q18" s="2" t="s">
        <v>18</v>
      </c>
      <c r="R18" s="2">
        <f>N26</f>
        <v>49478627</v>
      </c>
      <c r="S18" s="121">
        <f t="shared" si="0"/>
        <v>4.3902810715794063E-2</v>
      </c>
      <c r="T18" s="2"/>
      <c r="U18" s="2"/>
      <c r="V18" s="2"/>
      <c r="W18" s="2"/>
      <c r="X18" s="2"/>
      <c r="Y18" s="92">
        <f>+Y16+Y17</f>
        <v>1.3376944886090212</v>
      </c>
    </row>
    <row r="19" spans="1:25" ht="15" customHeight="1" x14ac:dyDescent="0.2">
      <c r="A19" s="15">
        <f t="shared" si="4"/>
        <v>7</v>
      </c>
      <c r="B19" s="2"/>
      <c r="C19" s="2"/>
      <c r="D19" s="64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62"/>
      <c r="Q19" s="2" t="s">
        <v>60</v>
      </c>
      <c r="R19" s="2">
        <f>N27+N28+N29+N30</f>
        <v>203096588</v>
      </c>
      <c r="S19" s="121">
        <f t="shared" si="0"/>
        <v>0.1802093469567701</v>
      </c>
      <c r="T19" s="2"/>
      <c r="U19" s="2"/>
      <c r="V19" s="2"/>
      <c r="W19" s="2"/>
      <c r="X19" s="2"/>
      <c r="Y19" s="2"/>
    </row>
    <row r="20" spans="1:25" ht="20.100000000000001" customHeight="1" x14ac:dyDescent="0.2">
      <c r="A20" s="15">
        <f t="shared" si="4"/>
        <v>8</v>
      </c>
      <c r="B20" s="2"/>
      <c r="C20" s="2" t="s">
        <v>13</v>
      </c>
      <c r="D20" s="64"/>
      <c r="E20" s="22">
        <f>SUM(E11:E19)</f>
        <v>428808200</v>
      </c>
      <c r="F20" s="22">
        <f>SUM(F11:F19)</f>
        <v>22466627</v>
      </c>
      <c r="G20" s="22">
        <f>SUM(G11:G19)</f>
        <v>34704920</v>
      </c>
      <c r="H20" s="22"/>
      <c r="I20" s="22">
        <f>SUM(I11:I19)</f>
        <v>0</v>
      </c>
      <c r="J20" s="22"/>
      <c r="K20" s="22">
        <f>SUM(K11:K19)</f>
        <v>0</v>
      </c>
      <c r="L20" s="22">
        <f>SUM(L11:L19)</f>
        <v>0</v>
      </c>
      <c r="M20" s="22"/>
      <c r="N20" s="22">
        <f>SUM(N11:N19)</f>
        <v>485979747</v>
      </c>
      <c r="O20" s="22"/>
      <c r="P20" s="63">
        <f>+N20/$N$32</f>
        <v>0.42856081387950873</v>
      </c>
      <c r="Q20" s="2"/>
      <c r="R20" s="2">
        <f>SUM(R12:R19)</f>
        <v>1127003629</v>
      </c>
      <c r="S20" s="121">
        <f t="shared" si="0"/>
        <v>1</v>
      </c>
      <c r="T20" s="2"/>
      <c r="U20" s="2"/>
      <c r="V20" s="2"/>
      <c r="W20" s="2"/>
      <c r="X20" s="2"/>
      <c r="Y20" s="2"/>
    </row>
    <row r="21" spans="1:25" ht="15" customHeight="1" x14ac:dyDescent="0.2">
      <c r="A21" s="15">
        <f t="shared" si="4"/>
        <v>9</v>
      </c>
      <c r="B21" s="2"/>
      <c r="C21" s="2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62"/>
      <c r="Q21" s="2"/>
      <c r="R21" s="2"/>
      <c r="S21" s="121"/>
      <c r="T21" s="2"/>
      <c r="U21" s="2"/>
      <c r="V21" s="2"/>
      <c r="W21" s="2"/>
      <c r="X21" s="2"/>
      <c r="Y21" s="2"/>
    </row>
    <row r="22" spans="1:25" ht="20.100000000000001" customHeight="1" x14ac:dyDescent="0.2">
      <c r="A22" s="15">
        <f t="shared" si="4"/>
        <v>10</v>
      </c>
      <c r="B22" s="2"/>
      <c r="C22" s="2" t="s">
        <v>14</v>
      </c>
      <c r="D22" s="81"/>
      <c r="E22" s="20">
        <f>(BSU!E22+ISU!E22+UI!E22+LCSC!E22)</f>
        <v>0</v>
      </c>
      <c r="F22" s="20">
        <f>(BSU!F22+ISU!F22+UI!F22+LCSC!F22)</f>
        <v>0</v>
      </c>
      <c r="G22" s="20">
        <f>(BSU!G22+ISU!G22+UI!G22+LCSC!G22)</f>
        <v>370100</v>
      </c>
      <c r="H22" s="20"/>
      <c r="I22" s="20">
        <f>(BSU!I22+ISU!I22+UI!I22+LCSC!I22)</f>
        <v>28207807</v>
      </c>
      <c r="J22" s="20"/>
      <c r="K22" s="20">
        <f>(BSU!K22+ISU!K22+UI!K22+LCSC!K22)</f>
        <v>41379560</v>
      </c>
      <c r="L22" s="20">
        <f>(BSU!L22+ISU!L22+UI!L22+LCSC!L22)</f>
        <v>0</v>
      </c>
      <c r="M22" s="20"/>
      <c r="N22" s="20">
        <f t="shared" ref="N22:N30" si="5">SUM(E22:L22)</f>
        <v>69957467</v>
      </c>
      <c r="O22" s="20"/>
      <c r="P22" s="62">
        <f>+N22/$N$32</f>
        <v>6.1691930948860864E-2</v>
      </c>
      <c r="Q22" s="2" t="s">
        <v>24</v>
      </c>
      <c r="R22" s="2">
        <f t="shared" ref="R22:R31" si="6">+N37</f>
        <v>302629972</v>
      </c>
      <c r="S22" s="121">
        <f t="shared" ref="S22:S34" si="7">+R22/R$34</f>
        <v>0.268338790278559</v>
      </c>
      <c r="T22" s="2"/>
      <c r="U22" s="2"/>
      <c r="V22" s="2"/>
      <c r="W22" s="2"/>
      <c r="X22" s="2"/>
      <c r="Y22" s="2"/>
    </row>
    <row r="23" spans="1:25" ht="20.100000000000001" customHeight="1" x14ac:dyDescent="0.2">
      <c r="A23" s="15">
        <f t="shared" si="4"/>
        <v>11</v>
      </c>
      <c r="B23" s="2"/>
      <c r="C23" s="2" t="s">
        <v>15</v>
      </c>
      <c r="D23" s="82"/>
      <c r="E23" s="23">
        <f>(BSU!E23+ISU!E23+UI!E23+LCSC!E23)</f>
        <v>0</v>
      </c>
      <c r="F23" s="23">
        <f>(BSU!F23+ISU!F23+UI!F23+LCSC!F23)</f>
        <v>0</v>
      </c>
      <c r="G23" s="23">
        <f>(BSU!G23+ISU!G23+UI!G23+LCSC!G23)</f>
        <v>0</v>
      </c>
      <c r="H23" s="23"/>
      <c r="I23" s="23">
        <f>(BSU!I23+ISU!I23+UI!I23+LCSC!I23)</f>
        <v>0</v>
      </c>
      <c r="J23" s="23"/>
      <c r="K23" s="23">
        <f>(BSU!K23+ISU!K23+UI!K23+LCSC!K23)</f>
        <v>0</v>
      </c>
      <c r="L23" s="23">
        <f>(BSU!L23+ISU!L23+UI!L23+LCSC!L23)</f>
        <v>4883700</v>
      </c>
      <c r="M23" s="23"/>
      <c r="N23" s="23">
        <f t="shared" si="5"/>
        <v>4883700</v>
      </c>
      <c r="O23" s="23"/>
      <c r="P23" s="62">
        <f t="shared" ref="P23:P30" si="8">+N23/$N$32</f>
        <v>4.3066865639225021E-3</v>
      </c>
      <c r="Q23" s="2" t="s">
        <v>25</v>
      </c>
      <c r="R23" s="2">
        <f t="shared" si="6"/>
        <v>124626905</v>
      </c>
      <c r="S23" s="121">
        <f t="shared" si="7"/>
        <v>0.11050535643528692</v>
      </c>
      <c r="T23" s="2"/>
      <c r="U23" s="2"/>
      <c r="V23" s="2"/>
      <c r="W23" s="2"/>
      <c r="X23" s="2"/>
      <c r="Y23" s="2"/>
    </row>
    <row r="24" spans="1:25" ht="20.100000000000001" customHeight="1" x14ac:dyDescent="0.2">
      <c r="A24" s="15">
        <f t="shared" si="4"/>
        <v>12</v>
      </c>
      <c r="B24" s="2"/>
      <c r="C24" s="2" t="s">
        <v>16</v>
      </c>
      <c r="D24" s="82"/>
      <c r="E24" s="23">
        <f>(BSU!E24+ISU!E24+UI!E24+LCSC!E24)</f>
        <v>0</v>
      </c>
      <c r="F24" s="23">
        <f>(BSU!F24+ISU!F24+UI!F24+LCSC!F24)</f>
        <v>0</v>
      </c>
      <c r="G24" s="23">
        <f>(BSU!G24+ISU!G24+UI!G24+LCSC!G24)</f>
        <v>0</v>
      </c>
      <c r="H24" s="23"/>
      <c r="I24" s="23">
        <f>(BSU!I24+ISU!I24+UI!I24+LCSC!I24)</f>
        <v>79600</v>
      </c>
      <c r="J24" s="23"/>
      <c r="K24" s="23">
        <f>(BSU!K24+ISU!K24+UI!K24+LCSC!K24)</f>
        <v>0</v>
      </c>
      <c r="L24" s="23">
        <f>(BSU!L24+ISU!L24+UI!L24+LCSC!L24)</f>
        <v>301626036</v>
      </c>
      <c r="M24" s="91" t="s">
        <v>105</v>
      </c>
      <c r="N24" s="23">
        <f t="shared" si="5"/>
        <v>301705636</v>
      </c>
      <c r="O24" s="23"/>
      <c r="P24" s="62">
        <f t="shared" si="8"/>
        <v>0.26605885062982843</v>
      </c>
      <c r="Q24" s="2" t="s">
        <v>26</v>
      </c>
      <c r="R24" s="2">
        <f t="shared" si="6"/>
        <v>51500107</v>
      </c>
      <c r="S24" s="121">
        <f t="shared" si="7"/>
        <v>4.5664599313369893E-2</v>
      </c>
      <c r="T24" s="2"/>
      <c r="U24" s="2"/>
      <c r="V24" s="2"/>
      <c r="W24" s="2"/>
      <c r="X24" s="2"/>
      <c r="Y24" s="2"/>
    </row>
    <row r="25" spans="1:25" ht="20.100000000000001" customHeight="1" x14ac:dyDescent="0.2">
      <c r="A25" s="15">
        <f t="shared" si="4"/>
        <v>13</v>
      </c>
      <c r="B25" s="2"/>
      <c r="C25" s="2" t="s">
        <v>17</v>
      </c>
      <c r="D25" s="82"/>
      <c r="E25" s="23">
        <f>(BSU!E25+ISU!E25+UI!E25+LCSC!E25)</f>
        <v>0</v>
      </c>
      <c r="F25" s="23">
        <f>(BSU!F25+ISU!F25+UI!F25+LCSC!F25)</f>
        <v>0</v>
      </c>
      <c r="G25" s="23">
        <f>(BSU!G25+ISU!G25+UI!G25+LCSC!G25)</f>
        <v>0</v>
      </c>
      <c r="H25" s="23"/>
      <c r="I25" s="23">
        <f>(BSU!I25+ISU!I25+UI!I25+LCSC!I25)</f>
        <v>0</v>
      </c>
      <c r="J25" s="23"/>
      <c r="K25" s="23">
        <f>(BSU!K25+ISU!K25+UI!K25+LCSC!K25)</f>
        <v>679336</v>
      </c>
      <c r="L25" s="23">
        <f>(BSU!L25+ISU!L25+UI!L25+LCSC!L25)</f>
        <v>18199728</v>
      </c>
      <c r="M25" s="23"/>
      <c r="N25" s="23">
        <f t="shared" si="5"/>
        <v>18879064</v>
      </c>
      <c r="O25" s="23"/>
      <c r="P25" s="62">
        <f t="shared" si="8"/>
        <v>1.6648486038911687E-2</v>
      </c>
      <c r="Q25" s="2" t="s">
        <v>27</v>
      </c>
      <c r="R25" s="2">
        <f t="shared" si="6"/>
        <v>49104474</v>
      </c>
      <c r="S25" s="121">
        <f t="shared" si="7"/>
        <v>4.3540416910275347E-2</v>
      </c>
      <c r="T25" s="2"/>
      <c r="U25" s="2"/>
      <c r="V25" s="2"/>
      <c r="W25" s="2"/>
      <c r="X25" s="2"/>
      <c r="Y25" s="2"/>
    </row>
    <row r="26" spans="1:25" ht="20.100000000000001" customHeight="1" x14ac:dyDescent="0.2">
      <c r="A26" s="15">
        <f t="shared" si="4"/>
        <v>14</v>
      </c>
      <c r="B26" s="2"/>
      <c r="C26" s="2" t="s">
        <v>18</v>
      </c>
      <c r="D26" s="82"/>
      <c r="E26" s="23">
        <f>(BSU!E26+ISU!E26+UI!E26+LCSC!E26)</f>
        <v>0</v>
      </c>
      <c r="F26" s="23">
        <f>(BSU!F26+ISU!F26+UI!F26+LCSC!F26)</f>
        <v>0</v>
      </c>
      <c r="G26" s="23">
        <f>(BSU!G26+ISU!G26+UI!G26+LCSC!G26)</f>
        <v>0</v>
      </c>
      <c r="H26" s="23"/>
      <c r="I26" s="23">
        <f>(BSU!I26+ISU!I26+UI!I26+LCSC!I26)</f>
        <v>3780332</v>
      </c>
      <c r="J26" s="23"/>
      <c r="K26" s="23">
        <f>(BSU!K26+ISU!K26+UI!K26+LCSC!K26)</f>
        <v>29550705</v>
      </c>
      <c r="L26" s="23">
        <f>(BSU!L26+ISU!L26+UI!L26+LCSC!L26)</f>
        <v>16147590</v>
      </c>
      <c r="M26" s="23"/>
      <c r="N26" s="23">
        <f t="shared" si="5"/>
        <v>49478627</v>
      </c>
      <c r="O26" s="23"/>
      <c r="P26" s="62">
        <f t="shared" si="8"/>
        <v>4.3632683846721365E-2</v>
      </c>
      <c r="Q26" s="2" t="s">
        <v>28</v>
      </c>
      <c r="R26" s="2">
        <f t="shared" si="6"/>
        <v>23412128</v>
      </c>
      <c r="S26" s="121">
        <f t="shared" si="7"/>
        <v>2.0759285882519195E-2</v>
      </c>
      <c r="T26" s="2"/>
      <c r="U26" s="2"/>
      <c r="V26" s="2"/>
      <c r="W26" s="2"/>
      <c r="X26" s="2"/>
      <c r="Y26" s="2"/>
    </row>
    <row r="27" spans="1:25" ht="20.100000000000001" customHeight="1" x14ac:dyDescent="0.2">
      <c r="A27" s="15">
        <f t="shared" si="4"/>
        <v>15</v>
      </c>
      <c r="B27" s="2"/>
      <c r="C27" s="2" t="s">
        <v>19</v>
      </c>
      <c r="D27" s="82"/>
      <c r="E27" s="23">
        <f>(BSU!E27+ISU!E27+UI!E27+LCSC!E27)</f>
        <v>0</v>
      </c>
      <c r="F27" s="23">
        <f>(BSU!F27+ISU!F27+UI!F27+LCSC!F27)</f>
        <v>0</v>
      </c>
      <c r="G27" s="23">
        <f>(BSU!G27+ISU!G27+UI!G27+LCSC!G27)</f>
        <v>0</v>
      </c>
      <c r="H27" s="23"/>
      <c r="I27" s="23">
        <f>(BSU!I27+ISU!I27+UI!I27+LCSC!I27)</f>
        <v>371907</v>
      </c>
      <c r="J27" s="23"/>
      <c r="K27" s="23">
        <f>(BSU!K27+ISU!K27+UI!K27+LCSC!K27)</f>
        <v>37331549</v>
      </c>
      <c r="L27" s="23">
        <f>(BSU!L27+ISU!L27+UI!L27+LCSC!L27)</f>
        <v>0</v>
      </c>
      <c r="M27" s="23"/>
      <c r="N27" s="23">
        <f t="shared" si="5"/>
        <v>37703456</v>
      </c>
      <c r="O27" s="23"/>
      <c r="P27" s="62">
        <f t="shared" si="8"/>
        <v>3.324875962254914E-2</v>
      </c>
      <c r="Q27" s="2" t="s">
        <v>29</v>
      </c>
      <c r="R27" s="2">
        <f t="shared" si="6"/>
        <v>29749000</v>
      </c>
      <c r="S27" s="121">
        <f t="shared" si="7"/>
        <v>2.6378123155616762E-2</v>
      </c>
      <c r="T27" s="2"/>
      <c r="U27" s="2"/>
      <c r="V27" s="2"/>
      <c r="W27" s="2"/>
      <c r="X27" s="2"/>
      <c r="Y27" s="2"/>
    </row>
    <row r="28" spans="1:25" ht="20.100000000000001" customHeight="1" x14ac:dyDescent="0.2">
      <c r="A28" s="15">
        <f t="shared" si="4"/>
        <v>16</v>
      </c>
      <c r="B28" s="2"/>
      <c r="C28" s="2" t="s">
        <v>20</v>
      </c>
      <c r="D28" s="82"/>
      <c r="E28" s="23">
        <f>(BSU!E28+ISU!E28+UI!E28+LCSC!E28)</f>
        <v>0</v>
      </c>
      <c r="F28" s="23">
        <f>(BSU!F28+ISU!F28+UI!F28+LCSC!F28)</f>
        <v>0</v>
      </c>
      <c r="G28" s="23">
        <f>(BSU!G28+ISU!G28+UI!G28+LCSC!G28)</f>
        <v>0</v>
      </c>
      <c r="H28" s="23"/>
      <c r="I28" s="23">
        <f>(BSU!I28+ISU!I28+UI!I28+LCSC!I28)</f>
        <v>98180677</v>
      </c>
      <c r="J28" s="23"/>
      <c r="K28" s="23">
        <f>(BSU!K28+ISU!K28+UI!K28+LCSC!K28)</f>
        <v>18208999</v>
      </c>
      <c r="L28" s="23">
        <f>(BSU!L28+ISU!L28+UI!L28+LCSC!L28)</f>
        <v>0</v>
      </c>
      <c r="M28" s="23"/>
      <c r="N28" s="23">
        <f t="shared" si="5"/>
        <v>116389676</v>
      </c>
      <c r="O28" s="23"/>
      <c r="P28" s="62">
        <f t="shared" si="8"/>
        <v>0.10263813375278852</v>
      </c>
      <c r="Q28" s="2" t="s">
        <v>30</v>
      </c>
      <c r="R28" s="2">
        <f t="shared" si="6"/>
        <v>91268376</v>
      </c>
      <c r="S28" s="121">
        <f t="shared" si="7"/>
        <v>8.0926702152715621E-2</v>
      </c>
      <c r="T28" s="2"/>
      <c r="U28" s="2"/>
      <c r="V28" s="2"/>
      <c r="W28" s="2"/>
      <c r="X28" s="2"/>
      <c r="Y28" s="2"/>
    </row>
    <row r="29" spans="1:25" ht="20.100000000000001" customHeight="1" x14ac:dyDescent="0.2">
      <c r="A29" s="15">
        <f t="shared" si="4"/>
        <v>17</v>
      </c>
      <c r="B29" s="2"/>
      <c r="C29" s="2" t="s">
        <v>21</v>
      </c>
      <c r="D29" s="82"/>
      <c r="E29" s="23">
        <f>(BSU!E29+ISU!E29+UI!E29+LCSC!E29)</f>
        <v>0</v>
      </c>
      <c r="F29" s="23">
        <f>(BSU!F29+ISU!F29+UI!F29+LCSC!F29)</f>
        <v>0</v>
      </c>
      <c r="G29" s="23">
        <f>(BSU!G29+ISU!G29+UI!G29+LCSC!G29)</f>
        <v>0</v>
      </c>
      <c r="H29" s="23"/>
      <c r="I29" s="23">
        <f>(BSU!I29+ISU!I29+UI!I29+LCSC!I29)</f>
        <v>0</v>
      </c>
      <c r="J29" s="23"/>
      <c r="K29" s="23">
        <f>(BSU!K29+ISU!K29+UI!K29+LCSC!K29)</f>
        <v>16934905</v>
      </c>
      <c r="L29" s="23">
        <f>(BSU!L29+ISU!L29+UI!L29+LCSC!L29)</f>
        <v>0</v>
      </c>
      <c r="M29" s="23"/>
      <c r="N29" s="23">
        <f t="shared" si="5"/>
        <v>16934905</v>
      </c>
      <c r="O29" s="23"/>
      <c r="P29" s="62">
        <f t="shared" si="8"/>
        <v>1.4934031129021847E-2</v>
      </c>
      <c r="Q29" s="2" t="s">
        <v>31</v>
      </c>
      <c r="R29" s="2">
        <f t="shared" si="6"/>
        <v>63205860</v>
      </c>
      <c r="S29" s="121">
        <f t="shared" si="7"/>
        <v>5.6043966494224051E-2</v>
      </c>
      <c r="T29" s="2"/>
      <c r="U29" s="2"/>
      <c r="V29" s="2"/>
      <c r="W29" s="2"/>
      <c r="X29" s="2"/>
      <c r="Y29" s="2"/>
    </row>
    <row r="30" spans="1:25" ht="20.100000000000001" customHeight="1" x14ac:dyDescent="0.2">
      <c r="A30" s="15">
        <f t="shared" si="4"/>
        <v>18</v>
      </c>
      <c r="B30" s="2"/>
      <c r="C30" s="2" t="s">
        <v>22</v>
      </c>
      <c r="D30" s="82"/>
      <c r="E30" s="23">
        <f>(BSU!E30+ISU!E30+UI!E30+LCSC!E30)</f>
        <v>167900</v>
      </c>
      <c r="F30" s="23">
        <f>(BSU!F30+ISU!F30+UI!F30+LCSC!F30)</f>
        <v>0</v>
      </c>
      <c r="G30" s="23">
        <f>(BSU!G30+ISU!G30+UI!G30+LCSC!G30)</f>
        <v>150000</v>
      </c>
      <c r="H30" s="23"/>
      <c r="I30" s="23">
        <f>(BSU!I30+ISU!I30+UI!I30+LCSC!I30)</f>
        <v>4497324</v>
      </c>
      <c r="J30" s="23"/>
      <c r="K30" s="23">
        <f>(BSU!K30+ISU!K30+UI!K30+LCSC!K30)</f>
        <v>26677464</v>
      </c>
      <c r="L30" s="23">
        <f>(BSU!L30+ISU!L30+UI!L30+LCSC!L30)</f>
        <v>575863</v>
      </c>
      <c r="M30" s="23"/>
      <c r="N30" s="23">
        <f t="shared" si="5"/>
        <v>32068551</v>
      </c>
      <c r="O30" s="23"/>
      <c r="P30" s="62">
        <f t="shared" si="8"/>
        <v>2.8279623587886951E-2</v>
      </c>
      <c r="Q30" s="2" t="s">
        <v>32</v>
      </c>
      <c r="R30" s="2">
        <f t="shared" si="6"/>
        <v>229267194</v>
      </c>
      <c r="S30" s="121">
        <f t="shared" si="7"/>
        <v>0.20328879219048304</v>
      </c>
      <c r="T30" s="2"/>
      <c r="U30" s="2"/>
      <c r="V30" s="2"/>
      <c r="W30" s="2"/>
      <c r="X30" s="2"/>
      <c r="Y30" s="2"/>
    </row>
    <row r="31" spans="1:25" ht="15" customHeight="1" x14ac:dyDescent="0.2">
      <c r="A31" s="15">
        <f t="shared" si="4"/>
        <v>19</v>
      </c>
      <c r="B31" s="2"/>
      <c r="C31" s="2"/>
      <c r="D31" s="64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62"/>
      <c r="Q31" s="2" t="s">
        <v>83</v>
      </c>
      <c r="R31" s="2">
        <f t="shared" si="6"/>
        <v>147822542</v>
      </c>
      <c r="S31" s="121">
        <f t="shared" si="7"/>
        <v>0.13107268204149153</v>
      </c>
      <c r="T31" s="2"/>
      <c r="U31" s="2"/>
      <c r="V31" s="2"/>
      <c r="W31" s="2"/>
      <c r="X31" s="2"/>
      <c r="Y31" s="2"/>
    </row>
    <row r="32" spans="1:25" ht="20.100000000000001" customHeight="1" x14ac:dyDescent="0.2">
      <c r="A32" s="15">
        <f t="shared" si="4"/>
        <v>20</v>
      </c>
      <c r="B32" s="2"/>
      <c r="C32" s="2" t="s">
        <v>23</v>
      </c>
      <c r="D32" s="64"/>
      <c r="E32" s="22">
        <f>SUM(E20:E31)</f>
        <v>428976100</v>
      </c>
      <c r="F32" s="22">
        <f>SUM(F20:F31)</f>
        <v>22466627</v>
      </c>
      <c r="G32" s="22">
        <f>SUM(G20:G31)</f>
        <v>35225020</v>
      </c>
      <c r="H32" s="22"/>
      <c r="I32" s="22">
        <f>SUM(I20:I31)</f>
        <v>135117647</v>
      </c>
      <c r="J32" s="22"/>
      <c r="K32" s="22">
        <f>SUM(K20:K31)</f>
        <v>170762518</v>
      </c>
      <c r="L32" s="22">
        <f>SUM(L20:L31)</f>
        <v>341432917</v>
      </c>
      <c r="M32" s="22"/>
      <c r="N32" s="22">
        <f>SUM(N20:N31)</f>
        <v>1133980829</v>
      </c>
      <c r="O32" s="22"/>
      <c r="P32" s="63">
        <f>SUM(P13:P31)-P20</f>
        <v>1.0000000000000004</v>
      </c>
      <c r="Q32" s="2" t="s">
        <v>85</v>
      </c>
      <c r="R32" s="2">
        <f>+N49</f>
        <v>15204067</v>
      </c>
      <c r="S32" s="121">
        <f t="shared" si="7"/>
        <v>1.3481285145458627E-2</v>
      </c>
      <c r="T32" s="2"/>
      <c r="U32" s="2"/>
      <c r="V32" s="2"/>
      <c r="W32" s="2"/>
      <c r="X32" s="2"/>
      <c r="Y32" s="2"/>
    </row>
    <row r="33" spans="1:25" ht="15.75" thickBot="1" x14ac:dyDescent="0.25">
      <c r="B33" s="2"/>
      <c r="C33" s="2"/>
      <c r="D33" s="82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3"/>
      <c r="Q33" s="2" t="s">
        <v>22</v>
      </c>
      <c r="R33" s="2">
        <f>+N48</f>
        <v>0</v>
      </c>
      <c r="S33" s="121">
        <f t="shared" si="7"/>
        <v>0</v>
      </c>
      <c r="T33" s="2"/>
      <c r="U33" s="2"/>
      <c r="V33" s="2"/>
      <c r="W33" s="2"/>
      <c r="X33" s="2"/>
      <c r="Y33" s="2"/>
    </row>
    <row r="34" spans="1:25" ht="16.5" thickTop="1" thickBot="1" x14ac:dyDescent="0.25">
      <c r="A34" s="99"/>
      <c r="B34" s="100"/>
      <c r="C34" s="100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R34" s="2">
        <f>SUM(R22:R33)</f>
        <v>1127790625</v>
      </c>
      <c r="S34" s="121">
        <f t="shared" si="7"/>
        <v>1</v>
      </c>
      <c r="T34" s="2"/>
      <c r="U34" s="2"/>
      <c r="V34" s="2"/>
      <c r="W34" s="2"/>
      <c r="X34" s="2"/>
      <c r="Y34" s="2"/>
    </row>
    <row r="35" spans="1:25" ht="15.75" thickTop="1" x14ac:dyDescent="0.2">
      <c r="A35" s="102"/>
      <c r="B35" s="64"/>
      <c r="C35" s="64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T35" s="2"/>
      <c r="U35" s="2"/>
      <c r="V35" s="2"/>
      <c r="W35" s="2"/>
      <c r="X35" s="2"/>
      <c r="Y35" s="2"/>
    </row>
    <row r="36" spans="1:25" ht="15" customHeight="1" x14ac:dyDescent="0.25">
      <c r="A36" s="15">
        <f>+A32+1</f>
        <v>21</v>
      </c>
      <c r="B36" s="98" t="s">
        <v>91</v>
      </c>
      <c r="C36" s="2"/>
      <c r="D36" s="82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25" ht="20.100000000000001" customHeight="1" x14ac:dyDescent="0.2">
      <c r="A37" s="15">
        <f t="shared" si="3"/>
        <v>22</v>
      </c>
      <c r="B37" s="2"/>
      <c r="C37" s="2" t="s">
        <v>24</v>
      </c>
      <c r="D37" s="81"/>
      <c r="E37" s="20">
        <f>(BSU!E37+ISU!E37+UI!E37+LCSC!E37)</f>
        <v>205597445</v>
      </c>
      <c r="F37" s="20">
        <f>(BSU!F37+ISU!F37+UI!F37+LCSC!F37)</f>
        <v>21596517</v>
      </c>
      <c r="G37" s="20">
        <f>(BSU!G37+ISU!G37+UI!G37+LCSC!G37)</f>
        <v>7624320</v>
      </c>
      <c r="H37" s="20"/>
      <c r="I37" s="20">
        <f>(BSU!I37+ISU!I37+UI!I37+LCSC!I37)</f>
        <v>0</v>
      </c>
      <c r="J37" s="20"/>
      <c r="K37" s="20">
        <f>(BSU!K37+ISU!K37+UI!K37+LCSC!K37)</f>
        <v>49495050</v>
      </c>
      <c r="L37" s="20">
        <f>(BSU!L37+ISU!L37+UI!L37+LCSC!L37)</f>
        <v>18316640</v>
      </c>
      <c r="M37" s="20"/>
      <c r="N37" s="20">
        <f t="shared" ref="N37:N48" si="9">SUM(E37:L37)</f>
        <v>302629972</v>
      </c>
      <c r="O37" s="20"/>
      <c r="P37" s="62">
        <f>+N37/$N$51</f>
        <v>0.268338790278559</v>
      </c>
      <c r="T37" s="2"/>
      <c r="U37" s="2"/>
      <c r="V37" s="2"/>
      <c r="W37" s="2"/>
      <c r="X37" s="2"/>
      <c r="Y37" s="2"/>
    </row>
    <row r="38" spans="1:25" ht="20.100000000000001" customHeight="1" x14ac:dyDescent="0.2">
      <c r="A38" s="15">
        <f t="shared" si="3"/>
        <v>23</v>
      </c>
      <c r="B38" s="2"/>
      <c r="C38" s="2" t="s">
        <v>25</v>
      </c>
      <c r="D38" s="82"/>
      <c r="E38" s="23">
        <f>(BSU!E38+ISU!E38+UI!E38+LCSC!E38)</f>
        <v>12124289</v>
      </c>
      <c r="F38" s="23">
        <f>(BSU!F38+ISU!F38+UI!F38+LCSC!F38)</f>
        <v>0</v>
      </c>
      <c r="G38" s="23">
        <f>(BSU!G38+ISU!G38+UI!G38+LCSC!G38)</f>
        <v>16092618</v>
      </c>
      <c r="H38" s="23"/>
      <c r="I38" s="23">
        <f>(BSU!I38+ISU!I38+UI!I38+LCSC!I38)</f>
        <v>0</v>
      </c>
      <c r="J38" s="23"/>
      <c r="K38" s="23">
        <f>(BSU!K38+ISU!K38+UI!K38+LCSC!K38)</f>
        <v>12681579</v>
      </c>
      <c r="L38" s="23">
        <f>(BSU!L38+ISU!L38+UI!L38+LCSC!L38)</f>
        <v>83728419</v>
      </c>
      <c r="M38" s="23"/>
      <c r="N38" s="23">
        <f t="shared" si="9"/>
        <v>124626905</v>
      </c>
      <c r="O38" s="23"/>
      <c r="P38" s="62">
        <f t="shared" ref="P38:P48" si="10">+N38/$N$51</f>
        <v>0.11050535643528692</v>
      </c>
      <c r="Q38" s="2"/>
      <c r="R38" s="2"/>
      <c r="S38" s="2"/>
      <c r="T38" s="2"/>
      <c r="U38" s="2"/>
      <c r="V38" s="2"/>
      <c r="W38" s="2"/>
      <c r="X38" s="2"/>
      <c r="Y38" s="2"/>
    </row>
    <row r="39" spans="1:25" ht="20.100000000000001" customHeight="1" x14ac:dyDescent="0.2">
      <c r="A39" s="15">
        <f t="shared" si="3"/>
        <v>24</v>
      </c>
      <c r="B39" s="2"/>
      <c r="C39" s="2" t="s">
        <v>26</v>
      </c>
      <c r="D39" s="82"/>
      <c r="E39" s="23">
        <f>(BSU!E39+ISU!E39+UI!E39+LCSC!E39)</f>
        <v>929205</v>
      </c>
      <c r="F39" s="23">
        <f>(BSU!F39+ISU!F39+UI!F39+LCSC!F39)</f>
        <v>0</v>
      </c>
      <c r="G39" s="23">
        <f>(BSU!G39+ISU!G39+UI!G39+LCSC!G39)</f>
        <v>11491682</v>
      </c>
      <c r="H39" s="23"/>
      <c r="I39" s="23">
        <f>(BSU!I39+ISU!I39+UI!I39+LCSC!I39)</f>
        <v>0</v>
      </c>
      <c r="J39" s="23"/>
      <c r="K39" s="23">
        <f>(BSU!K39+ISU!K39+UI!K39+LCSC!K39)</f>
        <v>6721058</v>
      </c>
      <c r="L39" s="23">
        <f>(BSU!L39+ISU!L39+UI!L39+LCSC!L39)</f>
        <v>32358162</v>
      </c>
      <c r="M39" s="23"/>
      <c r="N39" s="23">
        <f t="shared" si="9"/>
        <v>51500107</v>
      </c>
      <c r="O39" s="23"/>
      <c r="P39" s="62">
        <f t="shared" si="10"/>
        <v>4.5664599313369893E-2</v>
      </c>
      <c r="Q39" s="2"/>
      <c r="R39" s="2"/>
      <c r="S39" s="2"/>
      <c r="T39" s="2"/>
      <c r="U39" s="2"/>
      <c r="V39" s="2"/>
      <c r="W39" s="2"/>
      <c r="X39" s="2"/>
      <c r="Y39" s="2"/>
    </row>
    <row r="40" spans="1:25" ht="20.100000000000001" customHeight="1" x14ac:dyDescent="0.2">
      <c r="A40" s="15">
        <f t="shared" si="3"/>
        <v>25</v>
      </c>
      <c r="B40" s="2"/>
      <c r="C40" s="2" t="s">
        <v>27</v>
      </c>
      <c r="D40" s="82"/>
      <c r="E40" s="23">
        <f>(BSU!E40+ISU!E40+UI!E40+LCSC!E40)</f>
        <v>33342252</v>
      </c>
      <c r="F40" s="23">
        <f>(BSU!F40+ISU!F40+UI!F40+LCSC!F40)</f>
        <v>624007</v>
      </c>
      <c r="G40" s="23">
        <f>(BSU!G40+ISU!G40+UI!G40+LCSC!G40)</f>
        <v>0</v>
      </c>
      <c r="H40" s="23"/>
      <c r="I40" s="23">
        <f>(BSU!I40+ISU!I40+UI!I40+LCSC!I40)</f>
        <v>0</v>
      </c>
      <c r="J40" s="23"/>
      <c r="K40" s="23">
        <f>(BSU!K40+ISU!K40+UI!K40+LCSC!K40)</f>
        <v>14612425</v>
      </c>
      <c r="L40" s="23">
        <f>(BSU!L40+ISU!L40+UI!L40+LCSC!L40)</f>
        <v>525790</v>
      </c>
      <c r="M40" s="23"/>
      <c r="N40" s="23">
        <f t="shared" si="9"/>
        <v>49104474</v>
      </c>
      <c r="O40" s="23"/>
      <c r="P40" s="62">
        <f t="shared" si="10"/>
        <v>4.3540416910275347E-2</v>
      </c>
      <c r="Q40" s="2"/>
      <c r="R40" s="2"/>
      <c r="S40" s="2"/>
      <c r="T40" s="2"/>
      <c r="U40" s="2"/>
      <c r="V40" s="2"/>
      <c r="W40" s="2"/>
      <c r="X40" s="2"/>
      <c r="Y40" s="2"/>
    </row>
    <row r="41" spans="1:25" ht="20.100000000000001" customHeight="1" x14ac:dyDescent="0.2">
      <c r="A41" s="15">
        <f t="shared" si="3"/>
        <v>26</v>
      </c>
      <c r="B41" s="2"/>
      <c r="C41" s="2" t="s">
        <v>28</v>
      </c>
      <c r="D41" s="82"/>
      <c r="E41" s="23">
        <f>(BSU!E41+ISU!E41+UI!E41+LCSC!E41)</f>
        <v>21119147</v>
      </c>
      <c r="F41" s="23">
        <f>(BSU!F41+ISU!F41+UI!F41+LCSC!F41)</f>
        <v>0</v>
      </c>
      <c r="G41" s="23">
        <f>(BSU!G41+ISU!G41+UI!G41+LCSC!G41)</f>
        <v>0</v>
      </c>
      <c r="H41" s="23"/>
      <c r="I41" s="23">
        <f>(BSU!I41+ISU!I41+UI!I41+LCSC!I41)</f>
        <v>0</v>
      </c>
      <c r="J41" s="23"/>
      <c r="K41" s="23">
        <f>(BSU!K41+ISU!K41+UI!K41+LCSC!K41)</f>
        <v>1481281</v>
      </c>
      <c r="L41" s="23">
        <f>(BSU!L41+ISU!L41+UI!L41+LCSC!L41)</f>
        <v>811700</v>
      </c>
      <c r="M41" s="23"/>
      <c r="N41" s="23">
        <f t="shared" si="9"/>
        <v>23412128</v>
      </c>
      <c r="O41" s="23"/>
      <c r="P41" s="62">
        <f t="shared" si="10"/>
        <v>2.0759285882519195E-2</v>
      </c>
      <c r="Q41" s="2"/>
      <c r="R41" s="2"/>
      <c r="S41" s="2"/>
      <c r="T41" s="2"/>
      <c r="U41" s="2"/>
      <c r="V41" s="2"/>
      <c r="W41" s="2"/>
      <c r="X41" s="2"/>
      <c r="Y41" s="2"/>
    </row>
    <row r="42" spans="1:25" ht="20.100000000000001" customHeight="1" x14ac:dyDescent="0.2">
      <c r="A42" s="15">
        <f t="shared" si="3"/>
        <v>27</v>
      </c>
      <c r="B42" s="2"/>
      <c r="C42" s="2" t="s">
        <v>29</v>
      </c>
      <c r="D42" s="82"/>
      <c r="E42" s="23">
        <f>(BSU!E42+ISU!E42+UI!E42+LCSC!E42)</f>
        <v>22907311</v>
      </c>
      <c r="F42" s="23">
        <f>(BSU!F42+ISU!F42+UI!F42+LCSC!F42)</f>
        <v>176936</v>
      </c>
      <c r="G42" s="23">
        <f>(BSU!G42+ISU!G42+UI!G42+LCSC!G42)</f>
        <v>0</v>
      </c>
      <c r="H42" s="23"/>
      <c r="I42" s="23">
        <f>(BSU!I42+ISU!I42+UI!I42+LCSC!I42)</f>
        <v>0</v>
      </c>
      <c r="J42" s="23"/>
      <c r="K42" s="23">
        <f>(BSU!K42+ISU!K42+UI!K42+LCSC!K42)</f>
        <v>5740312</v>
      </c>
      <c r="L42" s="23">
        <f>(BSU!L42+ISU!L42+UI!L42+LCSC!L42)</f>
        <v>924441</v>
      </c>
      <c r="M42" s="23"/>
      <c r="N42" s="23">
        <f t="shared" si="9"/>
        <v>29749000</v>
      </c>
      <c r="O42" s="23"/>
      <c r="P42" s="62">
        <f t="shared" si="10"/>
        <v>2.6378123155616762E-2</v>
      </c>
      <c r="Q42" s="2"/>
      <c r="R42" s="2"/>
      <c r="S42" s="2"/>
      <c r="T42" s="2"/>
      <c r="U42" s="2"/>
      <c r="V42" s="2"/>
      <c r="W42" s="2"/>
      <c r="X42" s="2"/>
      <c r="Y42" s="2"/>
    </row>
    <row r="43" spans="1:25" ht="20.100000000000001" customHeight="1" x14ac:dyDescent="0.2">
      <c r="A43" s="15">
        <f t="shared" si="3"/>
        <v>28</v>
      </c>
      <c r="B43" s="2"/>
      <c r="C43" s="2" t="s">
        <v>30</v>
      </c>
      <c r="D43" s="82"/>
      <c r="E43" s="23">
        <f>(BSU!E43+ISU!E43+UI!E43+LCSC!E43)</f>
        <v>50886567</v>
      </c>
      <c r="F43" s="23">
        <f>(BSU!F43+ISU!F43+UI!F43+LCSC!F43)</f>
        <v>0</v>
      </c>
      <c r="G43" s="23">
        <f>(BSU!G43+ISU!G43+UI!G43+LCSC!G43)</f>
        <v>0</v>
      </c>
      <c r="H43" s="23"/>
      <c r="I43" s="23">
        <f>(BSU!I43+ISU!I43+UI!I43+LCSC!I43)</f>
        <v>0</v>
      </c>
      <c r="J43" s="23"/>
      <c r="K43" s="23">
        <f>(BSU!K43+ISU!K43+UI!K43+LCSC!K43)</f>
        <v>39279855</v>
      </c>
      <c r="L43" s="23">
        <f>(BSU!L43+ISU!L43+UI!L43+LCSC!L43)</f>
        <v>1101954</v>
      </c>
      <c r="M43" s="23"/>
      <c r="N43" s="23">
        <f t="shared" si="9"/>
        <v>91268376</v>
      </c>
      <c r="O43" s="23"/>
      <c r="P43" s="62">
        <f t="shared" si="10"/>
        <v>8.0926702152715621E-2</v>
      </c>
      <c r="Q43" s="2"/>
      <c r="R43" s="2"/>
      <c r="S43" s="2"/>
      <c r="T43" s="2"/>
      <c r="U43" s="2"/>
      <c r="V43" s="2"/>
      <c r="W43" s="2"/>
      <c r="X43" s="2"/>
      <c r="Y43" s="2"/>
    </row>
    <row r="44" spans="1:25" ht="20.100000000000001" customHeight="1" x14ac:dyDescent="0.2">
      <c r="A44" s="15">
        <f t="shared" si="3"/>
        <v>29</v>
      </c>
      <c r="B44" s="2"/>
      <c r="C44" s="2" t="s">
        <v>31</v>
      </c>
      <c r="D44" s="82"/>
      <c r="E44" s="23">
        <f>(BSU!E44+ISU!E44+UI!E44+LCSC!E44)</f>
        <v>53322599</v>
      </c>
      <c r="F44" s="23">
        <f>(BSU!F44+ISU!F44+UI!F44+LCSC!F44)</f>
        <v>0</v>
      </c>
      <c r="G44" s="23">
        <f>(BSU!G44+ISU!G44+UI!G44+LCSC!G44)</f>
        <v>0</v>
      </c>
      <c r="H44" s="23"/>
      <c r="I44" s="23">
        <f>(BSU!I44+ISU!I44+UI!I44+LCSC!I44)</f>
        <v>0</v>
      </c>
      <c r="J44" s="23"/>
      <c r="K44" s="23">
        <f>(BSU!K44+ISU!K44+UI!K44+LCSC!K44)</f>
        <v>9482261</v>
      </c>
      <c r="L44" s="23">
        <f>(BSU!L44+ISU!L44+UI!L44+LCSC!L44)</f>
        <v>401000</v>
      </c>
      <c r="M44" s="23"/>
      <c r="N44" s="23">
        <f t="shared" si="9"/>
        <v>63205860</v>
      </c>
      <c r="O44" s="23"/>
      <c r="P44" s="62">
        <f t="shared" si="10"/>
        <v>5.6043966494224051E-2</v>
      </c>
      <c r="Q44" s="2"/>
      <c r="R44" s="2"/>
      <c r="S44" s="2"/>
      <c r="T44" s="2"/>
      <c r="U44" s="2"/>
      <c r="V44" s="2"/>
      <c r="W44" s="2"/>
      <c r="X44" s="2"/>
      <c r="Y44" s="2"/>
    </row>
    <row r="45" spans="1:25" ht="20.100000000000001" customHeight="1" x14ac:dyDescent="0.2">
      <c r="A45" s="15">
        <f t="shared" si="3"/>
        <v>30</v>
      </c>
      <c r="B45" s="2"/>
      <c r="C45" s="2" t="s">
        <v>32</v>
      </c>
      <c r="D45" s="82"/>
      <c r="E45" s="23">
        <f>(BSU!E45+ISU!E45+UI!E45+LCSC!E45)</f>
        <v>4047862</v>
      </c>
      <c r="F45" s="23">
        <f>(BSU!F45+ISU!F45+UI!F45+LCSC!F45)</f>
        <v>0</v>
      </c>
      <c r="G45" s="23">
        <f>(BSU!G45+ISU!G45+UI!G45+LCSC!G45)</f>
        <v>0</v>
      </c>
      <c r="H45" s="23"/>
      <c r="I45" s="23">
        <f>(BSU!I45+ISU!I45+UI!I45+LCSC!I45)</f>
        <v>4123278</v>
      </c>
      <c r="J45" s="23"/>
      <c r="K45" s="23">
        <f>(BSU!K45+ISU!K45+UI!K45+LCSC!K45)</f>
        <v>17831243</v>
      </c>
      <c r="L45" s="23">
        <f>(BSU!L45+ISU!L45+UI!L45+LCSC!L45)</f>
        <v>203264811</v>
      </c>
      <c r="M45" s="91" t="s">
        <v>105</v>
      </c>
      <c r="N45" s="23">
        <f t="shared" si="9"/>
        <v>229267194</v>
      </c>
      <c r="O45" s="23"/>
      <c r="P45" s="62">
        <f t="shared" si="10"/>
        <v>0.20328879219048304</v>
      </c>
      <c r="Q45" s="2"/>
      <c r="R45" s="2"/>
      <c r="S45" s="2"/>
      <c r="T45" s="2"/>
      <c r="U45" s="2"/>
      <c r="V45" s="2"/>
      <c r="W45" s="2"/>
      <c r="X45" s="2"/>
      <c r="Y45" s="2"/>
    </row>
    <row r="46" spans="1:25" ht="20.100000000000001" customHeight="1" x14ac:dyDescent="0.2">
      <c r="A46" s="15">
        <f t="shared" si="3"/>
        <v>31</v>
      </c>
      <c r="B46" s="2"/>
      <c r="C46" s="2" t="s">
        <v>104</v>
      </c>
      <c r="D46" s="82"/>
      <c r="E46" s="23">
        <f>(BSU!E46+ISU!E46+UI!E46+LCSC!E46)</f>
        <v>9580923</v>
      </c>
      <c r="F46" s="23">
        <f>(BSU!F46+ISU!F46+UI!F46+LCSC!F46)</f>
        <v>0</v>
      </c>
      <c r="G46" s="23">
        <f>(BSU!G46+ISU!G46+UI!G46+LCSC!G46)</f>
        <v>0</v>
      </c>
      <c r="H46" s="23"/>
      <c r="I46" s="23">
        <f>(BSU!I46+ISU!I46+UI!I46+LCSC!I46)</f>
        <v>131759919</v>
      </c>
      <c r="J46" s="23"/>
      <c r="K46" s="23">
        <f>(BSU!K46+ISU!K46+UI!K46+LCSC!K46)</f>
        <v>6481700</v>
      </c>
      <c r="L46" s="23">
        <f>(BSU!L46+ISU!L46+UI!L46+LCSC!L46)</f>
        <v>0</v>
      </c>
      <c r="M46" s="23"/>
      <c r="N46" s="23">
        <f t="shared" si="9"/>
        <v>147822542</v>
      </c>
      <c r="O46" s="23"/>
      <c r="P46" s="62">
        <f t="shared" si="10"/>
        <v>0.13107268204149153</v>
      </c>
      <c r="Q46" s="2"/>
      <c r="R46" s="2"/>
      <c r="S46" s="2"/>
      <c r="T46" s="2"/>
      <c r="U46" s="2"/>
      <c r="V46" s="2"/>
      <c r="W46" s="2"/>
      <c r="X46" s="2"/>
      <c r="Y46" s="2"/>
    </row>
    <row r="47" spans="1:25" ht="20.100000000000001" customHeight="1" x14ac:dyDescent="0.2">
      <c r="A47" s="15">
        <f t="shared" si="3"/>
        <v>32</v>
      </c>
      <c r="B47" s="2"/>
      <c r="C47" s="2" t="s">
        <v>33</v>
      </c>
      <c r="D47" s="82"/>
      <c r="E47" s="23">
        <f>(BSU!E47+ISU!E47+UI!E47+LCSC!E47)</f>
        <v>0</v>
      </c>
      <c r="F47" s="23">
        <f>(BSU!F47+ISU!F47+UI!F47+LCSC!F47)</f>
        <v>0</v>
      </c>
      <c r="G47" s="23">
        <f>(BSU!G47+ISU!G47+UI!G47+LCSC!G47)</f>
        <v>0</v>
      </c>
      <c r="H47" s="23"/>
      <c r="I47" s="23">
        <f>(BSU!I47+ISU!I47+UI!I47+LCSC!I47)</f>
        <v>0</v>
      </c>
      <c r="J47" s="23"/>
      <c r="K47" s="23">
        <f>(BSU!K47+ISU!K47+UI!K47+LCSC!K47)</f>
        <v>0</v>
      </c>
      <c r="L47" s="23">
        <f>(BSU!L47+ISU!L47+UI!L47+LCSC!L47)</f>
        <v>0</v>
      </c>
      <c r="M47" s="23"/>
      <c r="N47" s="23">
        <f t="shared" si="9"/>
        <v>0</v>
      </c>
      <c r="O47" s="23"/>
      <c r="P47" s="62">
        <f t="shared" si="10"/>
        <v>0</v>
      </c>
      <c r="Q47" s="2"/>
      <c r="R47" s="2"/>
      <c r="S47" s="2"/>
      <c r="T47" s="2"/>
      <c r="U47" s="2"/>
      <c r="V47" s="2"/>
      <c r="W47" s="2"/>
      <c r="X47" s="2"/>
      <c r="Y47" s="2"/>
    </row>
    <row r="48" spans="1:25" ht="20.100000000000001" customHeight="1" x14ac:dyDescent="0.2">
      <c r="A48" s="15">
        <f t="shared" si="3"/>
        <v>33</v>
      </c>
      <c r="B48" s="2"/>
      <c r="C48" s="2" t="s">
        <v>22</v>
      </c>
      <c r="D48" s="82"/>
      <c r="E48" s="23">
        <f>(BSU!E48+ISU!E48+UI!E48+LCSC!E48)</f>
        <v>0</v>
      </c>
      <c r="F48" s="23">
        <f>(BSU!F48+ISU!F48+UI!F48+LCSC!F48)</f>
        <v>0</v>
      </c>
      <c r="G48" s="23">
        <f>(BSU!G48+ISU!G48+UI!G48+LCSC!G48)</f>
        <v>0</v>
      </c>
      <c r="H48" s="23"/>
      <c r="I48" s="23">
        <f>(BSU!I48+ISU!I48+UI!I48+LCSC!I48)</f>
        <v>0</v>
      </c>
      <c r="J48" s="23" t="s">
        <v>8</v>
      </c>
      <c r="K48" s="23">
        <f>(BSU!K48+ISU!K48+UI!K48+LCSC!K48)</f>
        <v>0</v>
      </c>
      <c r="L48" s="23">
        <f>(BSU!L48+ISU!L48+UI!L48+LCSC!L48)</f>
        <v>0</v>
      </c>
      <c r="M48" s="23" t="s">
        <v>8</v>
      </c>
      <c r="N48" s="23">
        <f t="shared" si="9"/>
        <v>0</v>
      </c>
      <c r="O48" s="23"/>
      <c r="P48" s="62">
        <f t="shared" si="10"/>
        <v>0</v>
      </c>
      <c r="Q48" s="2"/>
      <c r="R48" s="2"/>
      <c r="S48" s="2"/>
      <c r="T48" s="2"/>
      <c r="U48" s="2"/>
      <c r="V48" s="2"/>
      <c r="W48" s="2"/>
      <c r="X48" s="2"/>
      <c r="Y48" s="2"/>
    </row>
    <row r="49" spans="1:25" ht="20.100000000000001" customHeight="1" x14ac:dyDescent="0.2">
      <c r="A49" s="15">
        <f>+A48+1</f>
        <v>34</v>
      </c>
      <c r="B49" s="2"/>
      <c r="C49" s="2" t="s">
        <v>85</v>
      </c>
      <c r="D49" s="82"/>
      <c r="E49" s="23">
        <f>(BSU!E49+ISU!E49+UI!E49+LCSC!E49)</f>
        <v>15118500</v>
      </c>
      <c r="F49" s="23">
        <f>(BSU!F49+ISU!F49+UI!F49+LCSC!F49)</f>
        <v>69167</v>
      </c>
      <c r="G49" s="23">
        <f>(BSU!G49+ISU!G49+UI!G49+LCSC!G49)</f>
        <v>16400</v>
      </c>
      <c r="H49" s="23"/>
      <c r="I49" s="23">
        <f>(BSU!I49+ISU!I49+UI!I49+LCSC!I49)</f>
        <v>0</v>
      </c>
      <c r="J49" s="23" t="s">
        <v>8</v>
      </c>
      <c r="K49" s="23">
        <f>(BSU!K49+ISU!K49+UI!K49+LCSC!K49)</f>
        <v>0</v>
      </c>
      <c r="L49" s="23">
        <f>(BSU!L49+ISU!L49+UI!L49+LCSC!L49)</f>
        <v>0</v>
      </c>
      <c r="M49" s="23" t="s">
        <v>8</v>
      </c>
      <c r="N49" s="23">
        <f>SUM(E49:L49)</f>
        <v>15204067</v>
      </c>
      <c r="O49" s="23"/>
      <c r="P49" s="62">
        <f>+N49/$N$51</f>
        <v>1.3481285145458627E-2</v>
      </c>
      <c r="Q49" s="2"/>
      <c r="R49" s="2"/>
      <c r="S49" s="2"/>
      <c r="T49" s="2"/>
      <c r="U49" s="2"/>
      <c r="V49" s="2"/>
      <c r="W49" s="2"/>
      <c r="X49" s="2"/>
      <c r="Y49" s="2"/>
    </row>
    <row r="50" spans="1:25" x14ac:dyDescent="0.2">
      <c r="A50" s="15">
        <f>+A49+1</f>
        <v>35</v>
      </c>
      <c r="B50" s="2"/>
      <c r="C50" s="2"/>
      <c r="D50" s="8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"/>
      <c r="R50" s="2"/>
      <c r="S50" s="2"/>
      <c r="T50" s="2"/>
      <c r="U50" s="2"/>
      <c r="V50" s="2"/>
      <c r="W50" s="2"/>
      <c r="X50" s="2"/>
      <c r="Y50" s="2"/>
    </row>
    <row r="51" spans="1:25" ht="20.100000000000001" customHeight="1" x14ac:dyDescent="0.2">
      <c r="A51" s="15">
        <f t="shared" si="3"/>
        <v>36</v>
      </c>
      <c r="B51" s="2"/>
      <c r="C51" s="2" t="s">
        <v>34</v>
      </c>
      <c r="D51" s="81"/>
      <c r="E51" s="22">
        <f>SUM(E36:E50)</f>
        <v>428976100</v>
      </c>
      <c r="F51" s="22">
        <f>SUM(F36:F50)</f>
        <v>22466627</v>
      </c>
      <c r="G51" s="22">
        <f>SUM(G36:G50)</f>
        <v>35225020</v>
      </c>
      <c r="H51" s="22"/>
      <c r="I51" s="22">
        <f>SUM(I36:I50)</f>
        <v>135883197</v>
      </c>
      <c r="J51" s="22"/>
      <c r="K51" s="22">
        <f>SUM(K36:K50)</f>
        <v>163806764</v>
      </c>
      <c r="L51" s="22">
        <f>SUM(L36:L50)</f>
        <v>341432917</v>
      </c>
      <c r="M51" s="22"/>
      <c r="N51" s="22">
        <f>SUM(N36:N50)</f>
        <v>1127790625</v>
      </c>
      <c r="O51" s="22"/>
      <c r="P51" s="63">
        <f>SUM(P37:P50)</f>
        <v>1</v>
      </c>
      <c r="Q51" s="2"/>
      <c r="R51" s="2"/>
      <c r="S51" s="2"/>
      <c r="T51" s="2"/>
      <c r="U51" s="2"/>
      <c r="V51" s="2"/>
      <c r="W51" s="2"/>
      <c r="X51" s="2"/>
      <c r="Y51" s="2"/>
    </row>
    <row r="52" spans="1:25" x14ac:dyDescent="0.2">
      <c r="A52" s="15">
        <f t="shared" si="3"/>
        <v>37</v>
      </c>
      <c r="B52" s="2"/>
      <c r="C52" s="2"/>
      <c r="D52" s="81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0"/>
      <c r="Q52" s="2"/>
      <c r="R52" s="2"/>
      <c r="S52" s="2"/>
      <c r="T52" s="2"/>
      <c r="U52" s="2"/>
      <c r="V52" s="2"/>
      <c r="W52" s="2"/>
      <c r="X52" s="2"/>
      <c r="Y52" s="2"/>
    </row>
    <row r="53" spans="1:25" x14ac:dyDescent="0.2">
      <c r="A53" s="15">
        <f t="shared" si="3"/>
        <v>38</v>
      </c>
      <c r="B53" s="2"/>
      <c r="C53" s="2"/>
      <c r="D53" s="81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"/>
      <c r="R53" s="2"/>
      <c r="S53" s="2"/>
      <c r="T53" s="2"/>
      <c r="U53" s="2"/>
      <c r="V53" s="2"/>
      <c r="W53" s="2"/>
      <c r="X53" s="2"/>
      <c r="Y53" s="2"/>
    </row>
    <row r="54" spans="1:25" ht="20.100000000000001" customHeight="1" thickBot="1" x14ac:dyDescent="0.25">
      <c r="A54" s="15">
        <f t="shared" si="3"/>
        <v>39</v>
      </c>
      <c r="B54" s="2" t="s">
        <v>2</v>
      </c>
      <c r="C54" s="2"/>
      <c r="D54" s="81"/>
      <c r="E54" s="20">
        <f>(E32-E51)</f>
        <v>0</v>
      </c>
      <c r="F54" s="20">
        <f>(F32-F51)</f>
        <v>0</v>
      </c>
      <c r="G54" s="20">
        <f>(G32-G51)</f>
        <v>0</v>
      </c>
      <c r="H54" s="20"/>
      <c r="I54" s="20">
        <f>(I32-I51)</f>
        <v>-765550</v>
      </c>
      <c r="J54" s="20"/>
      <c r="K54" s="20">
        <f>(K32-K51)</f>
        <v>6955754</v>
      </c>
      <c r="L54" s="20">
        <f>(L32-L51)</f>
        <v>0</v>
      </c>
      <c r="M54" s="20"/>
      <c r="N54" s="20">
        <f>(N32-N51)</f>
        <v>6190204</v>
      </c>
      <c r="O54" s="20"/>
      <c r="P54" s="20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thickTop="1" x14ac:dyDescent="0.2">
      <c r="A55" s="15">
        <f t="shared" si="3"/>
        <v>40</v>
      </c>
      <c r="B55" s="2"/>
      <c r="C55" s="2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2">
      <c r="A56" s="15">
        <f t="shared" si="3"/>
        <v>41</v>
      </c>
      <c r="B56" s="2"/>
      <c r="C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20.100000000000001" customHeight="1" x14ac:dyDescent="0.2">
      <c r="A57" s="15">
        <f t="shared" si="3"/>
        <v>42</v>
      </c>
      <c r="B57" s="2" t="s">
        <v>3</v>
      </c>
      <c r="C57" s="2"/>
      <c r="D57" s="84"/>
      <c r="E57" s="16">
        <f>(BSU!E57+ISU!E57+UI!E57+LCSC!E57)</f>
        <v>3932.4900000000002</v>
      </c>
      <c r="F57" s="16">
        <f>(BSU!F57+ISU!F57+UI!F57+LCSC!F57)</f>
        <v>294.56</v>
      </c>
      <c r="G57" s="16">
        <f>(BSU!G57+ISU!G57+UI!G57+LCSC!G57)</f>
        <v>341.59999999999991</v>
      </c>
      <c r="H57" s="16"/>
      <c r="I57" s="16">
        <f>(BSU!I57+ISU!I57+UI!I57+LCSC!I57)</f>
        <v>661.5</v>
      </c>
      <c r="J57" s="16"/>
      <c r="K57" s="16">
        <f>(BSU!K57+ISU!K57+UI!K57+LCSC!K57)</f>
        <v>781.2600000000001</v>
      </c>
      <c r="L57" s="16">
        <f>(BSU!L57+ISU!L57+UI!L57+LCSC!L57)</f>
        <v>453.10999999999996</v>
      </c>
      <c r="M57" s="16"/>
      <c r="N57" s="16">
        <f>SUM(E57:L57)</f>
        <v>6464.5199999999995</v>
      </c>
      <c r="O57" s="16"/>
      <c r="P57" s="16"/>
      <c r="Q57" s="2"/>
      <c r="R57" s="2"/>
      <c r="S57" s="2"/>
      <c r="T57" s="2"/>
      <c r="U57" s="2"/>
      <c r="V57" s="2"/>
      <c r="W57" s="2"/>
      <c r="X57" s="2"/>
      <c r="Y57" s="2"/>
    </row>
    <row r="58" spans="1:25" ht="15" customHeight="1" x14ac:dyDescent="0.2">
      <c r="A58" s="15">
        <f t="shared" si="3"/>
        <v>43</v>
      </c>
      <c r="B58" s="2"/>
      <c r="C58" s="2"/>
      <c r="D58" s="64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20.100000000000001" customHeight="1" x14ac:dyDescent="0.2">
      <c r="A59" s="15">
        <f t="shared" si="3"/>
        <v>44</v>
      </c>
      <c r="B59" s="2"/>
      <c r="C59" s="2" t="s">
        <v>80</v>
      </c>
      <c r="D59" s="64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20.100000000000001" customHeight="1" x14ac:dyDescent="0.2">
      <c r="A60" s="15">
        <f t="shared" si="3"/>
        <v>45</v>
      </c>
      <c r="B60" s="2"/>
      <c r="C60" s="2" t="s">
        <v>35</v>
      </c>
      <c r="D60" s="64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20.100000000000001" customHeight="1" x14ac:dyDescent="0.2">
      <c r="A61" s="15">
        <f t="shared" si="3"/>
        <v>46</v>
      </c>
      <c r="B61" s="2"/>
      <c r="C61" s="2" t="s">
        <v>81</v>
      </c>
      <c r="D61" s="64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20.100000000000001" customHeight="1" x14ac:dyDescent="0.2">
      <c r="A62" s="15">
        <f t="shared" si="3"/>
        <v>47</v>
      </c>
      <c r="B62" s="2"/>
      <c r="C62" s="2" t="s">
        <v>103</v>
      </c>
      <c r="D62" s="64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2">
      <c r="B63" s="2"/>
      <c r="C63" s="2"/>
      <c r="D63" s="64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2">
      <c r="B64" s="2"/>
      <c r="C64" s="3"/>
      <c r="D64" s="64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7:25" x14ac:dyDescent="0.2">
      <c r="Q65" s="2"/>
      <c r="R65" s="2"/>
      <c r="S65" s="2"/>
      <c r="T65" s="2"/>
      <c r="U65" s="2"/>
      <c r="V65" s="2"/>
      <c r="W65" s="2"/>
      <c r="X65" s="2"/>
      <c r="Y65" s="2"/>
    </row>
    <row r="66" spans="17:25" x14ac:dyDescent="0.2">
      <c r="Q66" s="2"/>
      <c r="R66" s="2"/>
      <c r="S66" s="2"/>
      <c r="T66" s="2"/>
      <c r="U66" s="2"/>
      <c r="V66" s="2"/>
      <c r="W66" s="2"/>
      <c r="X66" s="2"/>
      <c r="Y66" s="2"/>
    </row>
    <row r="67" spans="17:25" x14ac:dyDescent="0.2">
      <c r="Q67" s="2"/>
      <c r="R67" s="2"/>
      <c r="S67" s="2"/>
      <c r="T67" s="2"/>
      <c r="U67" s="2"/>
      <c r="V67" s="2"/>
      <c r="W67" s="2"/>
      <c r="X67" s="2"/>
      <c r="Y67" s="2"/>
    </row>
    <row r="68" spans="17:25" x14ac:dyDescent="0.2">
      <c r="Q68" s="2"/>
      <c r="R68" s="2"/>
      <c r="S68" s="2"/>
      <c r="T68" s="2"/>
      <c r="U68" s="2"/>
      <c r="V68" s="2"/>
      <c r="W68" s="2"/>
      <c r="X68" s="2"/>
      <c r="Y68" s="2"/>
    </row>
    <row r="69" spans="17:25" x14ac:dyDescent="0.2">
      <c r="Q69" s="2"/>
      <c r="R69" s="2"/>
      <c r="S69" s="2"/>
      <c r="T69" s="2"/>
      <c r="U69" s="2"/>
      <c r="V69" s="2"/>
      <c r="W69" s="2"/>
      <c r="X69" s="2"/>
      <c r="Y69" s="2"/>
    </row>
    <row r="70" spans="17:25" x14ac:dyDescent="0.2">
      <c r="Q70" s="2"/>
      <c r="R70" s="2"/>
      <c r="S70" s="2"/>
      <c r="T70" s="2"/>
      <c r="U70" s="2"/>
      <c r="V70" s="2"/>
      <c r="W70" s="2"/>
      <c r="X70" s="2"/>
      <c r="Y70" s="2"/>
    </row>
    <row r="71" spans="17:25" x14ac:dyDescent="0.2">
      <c r="Q71" s="2"/>
      <c r="R71" s="2"/>
      <c r="S71" s="2"/>
      <c r="T71" s="2"/>
      <c r="U71" s="2"/>
      <c r="V71" s="2"/>
      <c r="W71" s="2"/>
      <c r="X71" s="2"/>
      <c r="Y71" s="2"/>
    </row>
    <row r="72" spans="17:25" x14ac:dyDescent="0.2">
      <c r="Q72" s="2"/>
      <c r="R72" s="2"/>
      <c r="S72" s="2"/>
      <c r="T72" s="2"/>
      <c r="U72" s="2"/>
      <c r="V72" s="2"/>
      <c r="W72" s="2"/>
      <c r="X72" s="2"/>
      <c r="Y72" s="2"/>
    </row>
    <row r="73" spans="17:25" x14ac:dyDescent="0.2">
      <c r="Q73" s="2"/>
      <c r="R73" s="2"/>
      <c r="S73" s="2"/>
      <c r="T73" s="2"/>
      <c r="U73" s="2"/>
      <c r="V73" s="2"/>
      <c r="W73" s="2"/>
      <c r="X73" s="2"/>
      <c r="Y73" s="2"/>
    </row>
    <row r="74" spans="17:25" x14ac:dyDescent="0.2">
      <c r="Q74" s="2"/>
      <c r="R74" s="2"/>
      <c r="S74" s="2"/>
      <c r="T74" s="2"/>
      <c r="U74" s="2"/>
      <c r="V74" s="2"/>
      <c r="W74" s="2"/>
      <c r="X74" s="2"/>
      <c r="Y74" s="2"/>
    </row>
    <row r="75" spans="17:25" x14ac:dyDescent="0.2">
      <c r="Q75" s="2"/>
      <c r="R75" s="2"/>
      <c r="S75" s="2"/>
      <c r="T75" s="2"/>
      <c r="U75" s="2"/>
      <c r="V75" s="2"/>
      <c r="W75" s="2"/>
      <c r="X75" s="2"/>
      <c r="Y75" s="2"/>
    </row>
    <row r="76" spans="17:25" x14ac:dyDescent="0.2">
      <c r="Q76" s="2"/>
      <c r="R76" s="2"/>
      <c r="S76" s="2"/>
      <c r="T76" s="2"/>
      <c r="U76" s="2"/>
      <c r="V76" s="2"/>
      <c r="W76" s="2"/>
      <c r="X76" s="2"/>
      <c r="Y76" s="2"/>
    </row>
    <row r="77" spans="17:25" x14ac:dyDescent="0.2">
      <c r="Q77" s="2"/>
      <c r="R77" s="2"/>
      <c r="S77" s="2"/>
      <c r="T77" s="2"/>
      <c r="U77" s="2"/>
      <c r="V77" s="2"/>
      <c r="W77" s="2"/>
      <c r="X77" s="2"/>
      <c r="Y77" s="2"/>
    </row>
    <row r="78" spans="17:25" x14ac:dyDescent="0.2">
      <c r="Q78" s="2"/>
      <c r="R78" s="2"/>
      <c r="S78" s="2"/>
      <c r="T78" s="2"/>
      <c r="U78" s="2"/>
      <c r="V78" s="2"/>
      <c r="W78" s="2"/>
      <c r="X78" s="2"/>
      <c r="Y78" s="2"/>
    </row>
    <row r="79" spans="17:25" x14ac:dyDescent="0.2">
      <c r="Q79" s="2"/>
      <c r="R79" s="2"/>
      <c r="S79" s="2"/>
      <c r="T79" s="2"/>
      <c r="U79" s="2"/>
      <c r="V79" s="2"/>
      <c r="W79" s="2"/>
      <c r="X79" s="2"/>
      <c r="Y79" s="2"/>
    </row>
    <row r="80" spans="17:25" x14ac:dyDescent="0.2">
      <c r="Q80" s="2"/>
      <c r="R80" s="2"/>
      <c r="S80" s="2"/>
      <c r="T80" s="2"/>
      <c r="U80" s="2"/>
      <c r="V80" s="2"/>
      <c r="W80" s="2"/>
      <c r="X80" s="2"/>
      <c r="Y80" s="2"/>
    </row>
    <row r="81" spans="17:25" x14ac:dyDescent="0.2">
      <c r="Q81" s="2"/>
      <c r="R81" s="2"/>
      <c r="S81" s="2"/>
      <c r="T81" s="2"/>
      <c r="U81" s="2"/>
      <c r="V81" s="2"/>
      <c r="W81" s="2"/>
      <c r="X81" s="2"/>
      <c r="Y81" s="2"/>
    </row>
    <row r="82" spans="17:25" x14ac:dyDescent="0.2">
      <c r="Q82" s="2"/>
      <c r="R82" s="2"/>
      <c r="S82" s="2"/>
      <c r="T82" s="2"/>
      <c r="U82" s="2"/>
      <c r="V82" s="2"/>
      <c r="W82" s="2"/>
      <c r="X82" s="2"/>
      <c r="Y82" s="2"/>
    </row>
    <row r="83" spans="17:25" x14ac:dyDescent="0.2">
      <c r="Q83" s="2"/>
      <c r="R83" s="2"/>
      <c r="S83" s="2"/>
      <c r="T83" s="2"/>
      <c r="U83" s="2"/>
      <c r="V83" s="2"/>
      <c r="W83" s="2"/>
      <c r="X83" s="2"/>
      <c r="Y83" s="2"/>
    </row>
    <row r="84" spans="17:25" x14ac:dyDescent="0.2">
      <c r="Q84" s="2"/>
      <c r="R84" s="2"/>
      <c r="S84" s="2"/>
      <c r="T84" s="2"/>
      <c r="U84" s="2"/>
      <c r="V84" s="2"/>
      <c r="W84" s="2"/>
      <c r="X84" s="2"/>
      <c r="Y84" s="2"/>
    </row>
    <row r="85" spans="17:25" x14ac:dyDescent="0.2">
      <c r="Q85" s="2"/>
      <c r="R85" s="2"/>
      <c r="S85" s="2"/>
      <c r="T85" s="2"/>
      <c r="U85" s="2"/>
      <c r="V85" s="2"/>
      <c r="W85" s="2"/>
      <c r="X85" s="2"/>
      <c r="Y85" s="2"/>
    </row>
    <row r="86" spans="17:25" x14ac:dyDescent="0.2">
      <c r="Q86" s="2"/>
      <c r="R86" s="2"/>
      <c r="S86" s="2"/>
      <c r="T86" s="2"/>
      <c r="U86" s="2"/>
      <c r="V86" s="2"/>
      <c r="W86" s="2"/>
      <c r="X86" s="2"/>
      <c r="Y86" s="2"/>
    </row>
    <row r="87" spans="17:25" x14ac:dyDescent="0.2">
      <c r="Q87" s="2"/>
      <c r="R87" s="2"/>
      <c r="S87" s="2"/>
      <c r="T87" s="2"/>
      <c r="U87" s="2"/>
      <c r="V87" s="2"/>
      <c r="W87" s="2"/>
      <c r="X87" s="2"/>
      <c r="Y87" s="2"/>
    </row>
    <row r="88" spans="17:25" x14ac:dyDescent="0.2">
      <c r="Q88" s="2"/>
      <c r="R88" s="2"/>
      <c r="S88" s="2"/>
      <c r="T88" s="2"/>
      <c r="U88" s="2"/>
      <c r="V88" s="2"/>
      <c r="W88" s="2"/>
      <c r="X88" s="2"/>
      <c r="Y88" s="2"/>
    </row>
    <row r="89" spans="17:25" x14ac:dyDescent="0.2">
      <c r="Q89" s="2"/>
      <c r="R89" s="2"/>
      <c r="S89" s="2"/>
      <c r="T89" s="2"/>
      <c r="U89" s="2"/>
      <c r="V89" s="2"/>
      <c r="W89" s="2"/>
      <c r="X89" s="2"/>
      <c r="Y89" s="2"/>
    </row>
    <row r="90" spans="17:25" x14ac:dyDescent="0.2">
      <c r="Q90" s="2"/>
      <c r="R90" s="2"/>
      <c r="S90" s="2"/>
      <c r="T90" s="2"/>
      <c r="U90" s="2"/>
      <c r="V90" s="2"/>
      <c r="W90" s="2"/>
      <c r="X90" s="2"/>
      <c r="Y90" s="2"/>
    </row>
    <row r="91" spans="17:25" x14ac:dyDescent="0.2">
      <c r="Q91" s="2"/>
      <c r="R91" s="2"/>
      <c r="S91" s="2"/>
      <c r="T91" s="2"/>
      <c r="U91" s="2"/>
      <c r="V91" s="2"/>
      <c r="W91" s="2"/>
      <c r="X91" s="2"/>
      <c r="Y91" s="2"/>
    </row>
    <row r="92" spans="17:25" x14ac:dyDescent="0.2">
      <c r="Q92" s="2"/>
      <c r="R92" s="2"/>
      <c r="S92" s="2"/>
      <c r="T92" s="2"/>
      <c r="U92" s="2"/>
      <c r="V92" s="2"/>
      <c r="W92" s="2"/>
      <c r="X92" s="2"/>
      <c r="Y92" s="2"/>
    </row>
    <row r="93" spans="17:25" x14ac:dyDescent="0.2">
      <c r="Q93" s="2"/>
      <c r="R93" s="2"/>
      <c r="S93" s="2"/>
      <c r="T93" s="2"/>
      <c r="U93" s="2"/>
      <c r="V93" s="2"/>
      <c r="W93" s="2"/>
      <c r="X93" s="2"/>
      <c r="Y93" s="2"/>
    </row>
    <row r="94" spans="17:25" x14ac:dyDescent="0.2">
      <c r="Q94" s="2"/>
      <c r="R94" s="2"/>
      <c r="S94" s="2"/>
      <c r="T94" s="2"/>
      <c r="U94" s="2"/>
      <c r="V94" s="2"/>
      <c r="W94" s="2"/>
      <c r="X94" s="2"/>
      <c r="Y94" s="2"/>
    </row>
    <row r="95" spans="17:25" x14ac:dyDescent="0.2">
      <c r="Q95" s="2"/>
      <c r="R95" s="2"/>
      <c r="S95" s="2"/>
      <c r="T95" s="2"/>
      <c r="U95" s="2"/>
      <c r="V95" s="2"/>
      <c r="W95" s="2"/>
      <c r="X95" s="2"/>
      <c r="Y95" s="2"/>
    </row>
    <row r="96" spans="17:25" x14ac:dyDescent="0.2">
      <c r="Q96" s="2"/>
      <c r="R96" s="2"/>
      <c r="S96" s="2"/>
      <c r="T96" s="2"/>
      <c r="U96" s="2"/>
      <c r="V96" s="2"/>
      <c r="W96" s="2"/>
      <c r="X96" s="2"/>
      <c r="Y96" s="2"/>
    </row>
    <row r="97" spans="17:25" x14ac:dyDescent="0.2">
      <c r="Q97" s="2"/>
      <c r="R97" s="2"/>
      <c r="S97" s="2"/>
      <c r="T97" s="2"/>
      <c r="U97" s="2"/>
      <c r="V97" s="2"/>
      <c r="W97" s="2"/>
      <c r="X97" s="2"/>
      <c r="Y97" s="2"/>
    </row>
    <row r="98" spans="17:25" x14ac:dyDescent="0.2">
      <c r="Q98" s="2"/>
      <c r="R98" s="2"/>
      <c r="S98" s="2"/>
      <c r="T98" s="2"/>
      <c r="U98" s="2"/>
      <c r="V98" s="2"/>
      <c r="W98" s="2"/>
      <c r="X98" s="2"/>
      <c r="Y98" s="2"/>
    </row>
    <row r="99" spans="17:25" x14ac:dyDescent="0.2">
      <c r="Q99" s="2"/>
      <c r="R99" s="2"/>
      <c r="S99" s="2"/>
      <c r="T99" s="2"/>
      <c r="U99" s="2"/>
      <c r="V99" s="2"/>
      <c r="W99" s="2"/>
      <c r="X99" s="2"/>
      <c r="Y99" s="2"/>
    </row>
    <row r="100" spans="17:25" x14ac:dyDescent="0.2">
      <c r="Q100" s="2"/>
      <c r="R100" s="2"/>
      <c r="S100" s="2"/>
      <c r="T100" s="2"/>
      <c r="U100" s="2"/>
      <c r="V100" s="2"/>
      <c r="W100" s="2"/>
      <c r="X100" s="2"/>
      <c r="Y100" s="2"/>
    </row>
    <row r="101" spans="17:25" x14ac:dyDescent="0.2">
      <c r="Q101" s="2"/>
      <c r="R101" s="2"/>
      <c r="S101" s="2"/>
      <c r="T101" s="2"/>
      <c r="U101" s="2"/>
      <c r="V101" s="2"/>
      <c r="W101" s="2"/>
      <c r="X101" s="2"/>
      <c r="Y101" s="2"/>
    </row>
    <row r="102" spans="17:25" x14ac:dyDescent="0.2">
      <c r="Q102" s="2"/>
      <c r="R102" s="2"/>
      <c r="S102" s="2"/>
      <c r="T102" s="2"/>
      <c r="U102" s="2"/>
      <c r="V102" s="2"/>
      <c r="W102" s="2"/>
      <c r="X102" s="2"/>
      <c r="Y102" s="2"/>
    </row>
    <row r="103" spans="17:25" x14ac:dyDescent="0.2">
      <c r="Q103" s="2"/>
      <c r="R103" s="2"/>
      <c r="S103" s="2"/>
      <c r="T103" s="2"/>
      <c r="U103" s="2"/>
      <c r="V103" s="2"/>
      <c r="W103" s="2"/>
      <c r="X103" s="2"/>
      <c r="Y103" s="2"/>
    </row>
    <row r="104" spans="17:25" x14ac:dyDescent="0.2">
      <c r="Q104" s="2"/>
      <c r="R104" s="2"/>
      <c r="S104" s="2"/>
      <c r="T104" s="2"/>
      <c r="U104" s="2"/>
      <c r="V104" s="2"/>
      <c r="W104" s="2"/>
      <c r="X104" s="2"/>
      <c r="Y104" s="2"/>
    </row>
    <row r="105" spans="17:25" x14ac:dyDescent="0.2">
      <c r="Q105" s="2"/>
      <c r="R105" s="2"/>
      <c r="S105" s="2"/>
      <c r="T105" s="2"/>
      <c r="U105" s="2"/>
      <c r="V105" s="2"/>
      <c r="W105" s="2"/>
      <c r="X105" s="2"/>
      <c r="Y105" s="2"/>
    </row>
    <row r="106" spans="17:25" x14ac:dyDescent="0.2">
      <c r="Q106" s="2"/>
      <c r="R106" s="2"/>
      <c r="S106" s="2"/>
      <c r="T106" s="2"/>
      <c r="U106" s="2"/>
      <c r="V106" s="2"/>
      <c r="W106" s="2"/>
      <c r="X106" s="2"/>
      <c r="Y106" s="2"/>
    </row>
    <row r="107" spans="17:25" x14ac:dyDescent="0.2">
      <c r="Q107" s="2"/>
      <c r="R107" s="2"/>
      <c r="S107" s="2"/>
      <c r="T107" s="2"/>
      <c r="U107" s="2"/>
      <c r="V107" s="2"/>
      <c r="W107" s="2"/>
      <c r="X107" s="2"/>
      <c r="Y107" s="2"/>
    </row>
    <row r="108" spans="17:25" x14ac:dyDescent="0.2">
      <c r="Q108" s="2"/>
      <c r="R108" s="2"/>
      <c r="S108" s="2"/>
      <c r="T108" s="2"/>
      <c r="U108" s="2"/>
      <c r="V108" s="2"/>
      <c r="W108" s="2"/>
      <c r="X108" s="2"/>
      <c r="Y108" s="2"/>
    </row>
    <row r="109" spans="17:25" x14ac:dyDescent="0.2">
      <c r="Q109" s="2"/>
      <c r="R109" s="2"/>
      <c r="S109" s="2"/>
      <c r="T109" s="2"/>
      <c r="U109" s="2"/>
      <c r="V109" s="2"/>
      <c r="W109" s="2"/>
      <c r="X109" s="2"/>
      <c r="Y109" s="2"/>
    </row>
    <row r="110" spans="17:25" x14ac:dyDescent="0.2">
      <c r="Q110" s="2"/>
      <c r="R110" s="2"/>
      <c r="S110" s="2"/>
      <c r="T110" s="2"/>
      <c r="U110" s="2"/>
      <c r="V110" s="2"/>
      <c r="W110" s="2"/>
      <c r="X110" s="2"/>
      <c r="Y110" s="2"/>
    </row>
    <row r="111" spans="17:25" x14ac:dyDescent="0.2">
      <c r="Q111" s="2"/>
      <c r="R111" s="2"/>
      <c r="S111" s="2"/>
      <c r="T111" s="2"/>
      <c r="U111" s="2"/>
      <c r="V111" s="2"/>
      <c r="W111" s="2"/>
      <c r="X111" s="2"/>
      <c r="Y111" s="2"/>
    </row>
    <row r="112" spans="17:25" x14ac:dyDescent="0.2">
      <c r="Q112" s="2"/>
      <c r="R112" s="2"/>
      <c r="S112" s="2"/>
      <c r="T112" s="2"/>
      <c r="U112" s="2"/>
      <c r="V112" s="2"/>
      <c r="W112" s="2"/>
      <c r="X112" s="2"/>
      <c r="Y112" s="2"/>
    </row>
    <row r="113" spans="2:25" x14ac:dyDescent="0.2">
      <c r="Q113" s="2"/>
      <c r="R113" s="2"/>
      <c r="S113" s="2"/>
      <c r="T113" s="2"/>
      <c r="U113" s="2"/>
      <c r="V113" s="2"/>
      <c r="W113" s="2"/>
      <c r="X113" s="2"/>
      <c r="Y113" s="2"/>
    </row>
    <row r="114" spans="2:25" x14ac:dyDescent="0.2">
      <c r="Q114" s="2"/>
      <c r="R114" s="2"/>
      <c r="S114" s="2"/>
      <c r="T114" s="2"/>
      <c r="U114" s="2"/>
      <c r="V114" s="2"/>
      <c r="W114" s="2"/>
      <c r="X114" s="2"/>
      <c r="Y114" s="2"/>
    </row>
    <row r="115" spans="2:25" x14ac:dyDescent="0.2">
      <c r="Q115" s="2"/>
      <c r="R115" s="2"/>
      <c r="S115" s="2"/>
      <c r="T115" s="2"/>
      <c r="U115" s="2"/>
      <c r="V115" s="2"/>
      <c r="W115" s="2"/>
      <c r="X115" s="2"/>
      <c r="Y115" s="2"/>
    </row>
    <row r="116" spans="2:25" x14ac:dyDescent="0.2">
      <c r="Q116" s="2"/>
      <c r="R116" s="2"/>
      <c r="S116" s="2"/>
      <c r="T116" s="2"/>
      <c r="U116" s="2"/>
      <c r="V116" s="2"/>
      <c r="W116" s="2"/>
      <c r="X116" s="2"/>
      <c r="Y116" s="2"/>
    </row>
    <row r="117" spans="2:25" x14ac:dyDescent="0.2">
      <c r="Q117" s="2"/>
      <c r="R117" s="2"/>
      <c r="S117" s="2"/>
      <c r="T117" s="2"/>
      <c r="U117" s="2"/>
      <c r="V117" s="2"/>
      <c r="W117" s="2"/>
      <c r="X117" s="2"/>
      <c r="Y117" s="2"/>
    </row>
    <row r="118" spans="2:25" x14ac:dyDescent="0.2">
      <c r="Q118" s="14"/>
      <c r="R118" s="14"/>
      <c r="S118" s="14"/>
      <c r="T118" s="14"/>
      <c r="U118" s="14"/>
      <c r="V118" s="14"/>
      <c r="W118" s="14"/>
      <c r="X118" s="14"/>
      <c r="Y118" s="14"/>
    </row>
    <row r="119" spans="2:25" x14ac:dyDescent="0.2">
      <c r="B119" s="3"/>
      <c r="C119" s="2"/>
      <c r="D119" s="64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2:25" x14ac:dyDescent="0.2">
      <c r="Q120" s="2"/>
      <c r="R120" s="2"/>
      <c r="S120" s="2"/>
      <c r="T120" s="2"/>
      <c r="U120" s="2"/>
      <c r="V120" s="2"/>
      <c r="W120" s="2"/>
      <c r="X120" s="2"/>
      <c r="Y120" s="2"/>
    </row>
    <row r="121" spans="2:25" x14ac:dyDescent="0.2">
      <c r="Q121" s="2"/>
      <c r="R121" s="2"/>
      <c r="S121" s="2"/>
      <c r="T121" s="2"/>
      <c r="U121" s="2"/>
      <c r="V121" s="2"/>
      <c r="W121" s="2"/>
      <c r="X121" s="2"/>
      <c r="Y121" s="2"/>
    </row>
    <row r="122" spans="2:25" x14ac:dyDescent="0.2">
      <c r="Q122" s="2"/>
      <c r="R122" s="2"/>
      <c r="S122" s="2"/>
      <c r="T122" s="2"/>
      <c r="U122" s="2"/>
      <c r="V122" s="2"/>
      <c r="W122" s="2"/>
      <c r="X122" s="2"/>
      <c r="Y122" s="2"/>
    </row>
    <row r="123" spans="2:25" x14ac:dyDescent="0.2">
      <c r="Q123" s="2"/>
      <c r="R123" s="2"/>
      <c r="S123" s="2"/>
      <c r="T123" s="2"/>
      <c r="U123" s="2"/>
      <c r="V123" s="2"/>
      <c r="W123" s="2"/>
      <c r="X123" s="2"/>
      <c r="Y123" s="2"/>
    </row>
    <row r="124" spans="2:25" x14ac:dyDescent="0.2">
      <c r="Q124" s="2"/>
      <c r="R124" s="2"/>
      <c r="S124" s="2"/>
      <c r="T124" s="2"/>
      <c r="U124" s="2"/>
      <c r="V124" s="2"/>
      <c r="W124" s="2"/>
      <c r="X124" s="2"/>
      <c r="Y124" s="2"/>
    </row>
    <row r="125" spans="2:25" x14ac:dyDescent="0.2">
      <c r="Q125" s="2"/>
      <c r="R125" s="2"/>
      <c r="S125" s="2"/>
      <c r="T125" s="2"/>
      <c r="U125" s="2"/>
      <c r="V125" s="2"/>
      <c r="W125" s="2"/>
      <c r="X125" s="2"/>
      <c r="Y125" s="2"/>
    </row>
    <row r="126" spans="2:25" x14ac:dyDescent="0.2">
      <c r="Q126" s="2"/>
      <c r="R126" s="2"/>
      <c r="S126" s="2"/>
      <c r="T126" s="2"/>
      <c r="U126" s="2"/>
      <c r="V126" s="2"/>
      <c r="W126" s="2"/>
      <c r="X126" s="2"/>
      <c r="Y126" s="2"/>
    </row>
    <row r="127" spans="2:25" x14ac:dyDescent="0.2">
      <c r="Q127" s="2"/>
      <c r="R127" s="2"/>
      <c r="S127" s="2"/>
      <c r="T127" s="2"/>
      <c r="U127" s="2"/>
      <c r="V127" s="2"/>
      <c r="W127" s="2"/>
      <c r="X127" s="2"/>
      <c r="Y127" s="2"/>
    </row>
    <row r="128" spans="2:25" x14ac:dyDescent="0.2">
      <c r="Q128" s="2"/>
      <c r="R128" s="2"/>
      <c r="S128" s="2"/>
      <c r="T128" s="2"/>
      <c r="U128" s="2"/>
      <c r="V128" s="2"/>
      <c r="W128" s="2"/>
      <c r="X128" s="2"/>
      <c r="Y128" s="2"/>
    </row>
    <row r="129" spans="17:25" x14ac:dyDescent="0.2">
      <c r="Q129" s="2"/>
      <c r="R129" s="2"/>
      <c r="S129" s="2"/>
      <c r="T129" s="2"/>
      <c r="U129" s="2"/>
      <c r="V129" s="2"/>
      <c r="W129" s="2"/>
      <c r="X129" s="2"/>
      <c r="Y129" s="2"/>
    </row>
    <row r="130" spans="17:25" x14ac:dyDescent="0.2">
      <c r="Q130" s="2"/>
      <c r="R130" s="2"/>
      <c r="S130" s="2"/>
      <c r="T130" s="2"/>
      <c r="U130" s="2"/>
      <c r="V130" s="2"/>
      <c r="W130" s="2"/>
      <c r="X130" s="2"/>
      <c r="Y130" s="2"/>
    </row>
    <row r="131" spans="17:25" x14ac:dyDescent="0.2">
      <c r="Q131" s="2"/>
      <c r="R131" s="2"/>
      <c r="S131" s="2"/>
      <c r="T131" s="2"/>
      <c r="U131" s="2"/>
      <c r="V131" s="2"/>
      <c r="W131" s="2"/>
      <c r="X131" s="2"/>
      <c r="Y131" s="2"/>
    </row>
    <row r="132" spans="17:25" x14ac:dyDescent="0.2">
      <c r="Q132" s="2"/>
      <c r="R132" s="2"/>
      <c r="S132" s="2"/>
      <c r="T132" s="2"/>
      <c r="U132" s="2"/>
      <c r="V132" s="2"/>
      <c r="W132" s="2"/>
      <c r="X132" s="2"/>
      <c r="Y132" s="2"/>
    </row>
    <row r="133" spans="17:25" x14ac:dyDescent="0.2">
      <c r="Q133" s="2"/>
      <c r="R133" s="2"/>
      <c r="S133" s="2"/>
      <c r="T133" s="2"/>
      <c r="U133" s="2"/>
      <c r="V133" s="2"/>
      <c r="W133" s="2"/>
      <c r="X133" s="2"/>
      <c r="Y133" s="2"/>
    </row>
    <row r="134" spans="17:25" x14ac:dyDescent="0.2">
      <c r="Q134" s="2"/>
      <c r="R134" s="2"/>
      <c r="S134" s="2"/>
      <c r="T134" s="2"/>
      <c r="U134" s="2"/>
      <c r="V134" s="2"/>
      <c r="W134" s="2"/>
      <c r="X134" s="2"/>
      <c r="Y134" s="2"/>
    </row>
    <row r="135" spans="17:25" x14ac:dyDescent="0.2">
      <c r="Q135" s="2"/>
      <c r="R135" s="2"/>
      <c r="S135" s="2"/>
      <c r="T135" s="2"/>
      <c r="U135" s="2"/>
      <c r="V135" s="2"/>
      <c r="W135" s="2"/>
      <c r="X135" s="2"/>
      <c r="Y135" s="2"/>
    </row>
    <row r="136" spans="17:25" x14ac:dyDescent="0.2">
      <c r="Q136" s="2"/>
      <c r="R136" s="2"/>
      <c r="S136" s="2"/>
      <c r="T136" s="2"/>
      <c r="U136" s="2"/>
      <c r="V136" s="2"/>
      <c r="W136" s="2"/>
      <c r="X136" s="2"/>
      <c r="Y136" s="2"/>
    </row>
    <row r="137" spans="17:25" x14ac:dyDescent="0.2">
      <c r="Q137" s="2"/>
      <c r="R137" s="2"/>
      <c r="S137" s="2"/>
      <c r="T137" s="2"/>
      <c r="U137" s="2"/>
      <c r="V137" s="2"/>
      <c r="W137" s="2"/>
      <c r="X137" s="2"/>
      <c r="Y137" s="2"/>
    </row>
    <row r="138" spans="17:25" x14ac:dyDescent="0.2">
      <c r="Q138" s="2"/>
      <c r="R138" s="2"/>
      <c r="S138" s="2"/>
      <c r="T138" s="2"/>
      <c r="U138" s="2"/>
      <c r="V138" s="2"/>
      <c r="W138" s="2"/>
      <c r="X138" s="2"/>
      <c r="Y138" s="2"/>
    </row>
    <row r="139" spans="17:25" x14ac:dyDescent="0.2">
      <c r="Q139" s="2"/>
      <c r="R139" s="2"/>
      <c r="S139" s="2"/>
      <c r="T139" s="2"/>
      <c r="U139" s="2"/>
      <c r="V139" s="2"/>
      <c r="W139" s="2"/>
      <c r="X139" s="2"/>
      <c r="Y139" s="2"/>
    </row>
    <row r="140" spans="17:25" x14ac:dyDescent="0.2">
      <c r="Q140" s="2"/>
      <c r="R140" s="2"/>
      <c r="S140" s="2"/>
      <c r="T140" s="2"/>
      <c r="U140" s="2"/>
      <c r="V140" s="2"/>
      <c r="W140" s="2"/>
      <c r="X140" s="2"/>
      <c r="Y140" s="2"/>
    </row>
    <row r="141" spans="17:25" x14ac:dyDescent="0.2">
      <c r="Q141" s="2"/>
      <c r="R141" s="2"/>
      <c r="S141" s="2"/>
      <c r="T141" s="2"/>
      <c r="U141" s="2"/>
      <c r="V141" s="2"/>
      <c r="W141" s="2"/>
      <c r="X141" s="2"/>
      <c r="Y141" s="2"/>
    </row>
    <row r="142" spans="17:25" x14ac:dyDescent="0.2">
      <c r="Q142" s="2"/>
      <c r="R142" s="2"/>
      <c r="S142" s="2"/>
      <c r="T142" s="2"/>
      <c r="U142" s="2"/>
      <c r="V142" s="2"/>
      <c r="W142" s="2"/>
      <c r="X142" s="2"/>
      <c r="Y142" s="2"/>
    </row>
    <row r="143" spans="17:25" x14ac:dyDescent="0.2">
      <c r="Q143" s="2"/>
      <c r="R143" s="2"/>
      <c r="S143" s="2"/>
      <c r="T143" s="2"/>
      <c r="U143" s="2"/>
      <c r="V143" s="2"/>
      <c r="W143" s="2"/>
      <c r="X143" s="2"/>
      <c r="Y143" s="2"/>
    </row>
    <row r="144" spans="17:25" x14ac:dyDescent="0.2">
      <c r="Q144" s="2"/>
      <c r="R144" s="2"/>
      <c r="S144" s="2"/>
      <c r="T144" s="2"/>
      <c r="U144" s="2"/>
      <c r="V144" s="2"/>
      <c r="W144" s="2"/>
      <c r="X144" s="2"/>
      <c r="Y144" s="2"/>
    </row>
    <row r="145" spans="17:25" x14ac:dyDescent="0.2">
      <c r="Q145" s="2"/>
      <c r="R145" s="2"/>
      <c r="S145" s="2"/>
      <c r="T145" s="2"/>
      <c r="U145" s="2"/>
      <c r="V145" s="2"/>
      <c r="W145" s="2"/>
      <c r="X145" s="2"/>
      <c r="Y145" s="2"/>
    </row>
    <row r="146" spans="17:25" x14ac:dyDescent="0.2">
      <c r="Q146" s="2"/>
      <c r="R146" s="2"/>
      <c r="S146" s="2"/>
      <c r="T146" s="2"/>
      <c r="U146" s="2"/>
      <c r="V146" s="2"/>
      <c r="W146" s="2"/>
      <c r="X146" s="2"/>
      <c r="Y146" s="2"/>
    </row>
    <row r="147" spans="17:25" x14ac:dyDescent="0.2">
      <c r="Q147" s="2"/>
      <c r="R147" s="2"/>
      <c r="S147" s="2"/>
      <c r="T147" s="2"/>
      <c r="U147" s="2"/>
      <c r="V147" s="2"/>
      <c r="W147" s="2"/>
      <c r="X147" s="2"/>
      <c r="Y147" s="2"/>
    </row>
    <row r="148" spans="17:25" x14ac:dyDescent="0.2">
      <c r="Q148" s="2"/>
      <c r="R148" s="2"/>
      <c r="S148" s="2"/>
      <c r="T148" s="2"/>
      <c r="U148" s="2"/>
      <c r="V148" s="2"/>
      <c r="W148" s="2"/>
      <c r="X148" s="2"/>
      <c r="Y148" s="2"/>
    </row>
    <row r="149" spans="17:25" x14ac:dyDescent="0.2">
      <c r="Q149" s="2"/>
      <c r="R149" s="2"/>
      <c r="S149" s="2"/>
      <c r="T149" s="2"/>
      <c r="U149" s="2"/>
      <c r="V149" s="2"/>
      <c r="W149" s="2"/>
      <c r="X149" s="2"/>
      <c r="Y149" s="2"/>
    </row>
    <row r="150" spans="17:25" x14ac:dyDescent="0.2">
      <c r="Q150" s="2"/>
      <c r="R150" s="2"/>
      <c r="S150" s="2"/>
      <c r="T150" s="2"/>
      <c r="U150" s="2"/>
      <c r="V150" s="2"/>
      <c r="W150" s="2"/>
      <c r="X150" s="2"/>
      <c r="Y150" s="2"/>
    </row>
    <row r="151" spans="17:25" x14ac:dyDescent="0.2">
      <c r="Q151" s="2"/>
      <c r="R151" s="2"/>
      <c r="S151" s="2"/>
      <c r="T151" s="2"/>
      <c r="U151" s="2"/>
      <c r="V151" s="2"/>
      <c r="W151" s="2"/>
      <c r="X151" s="2"/>
      <c r="Y151" s="2"/>
    </row>
    <row r="152" spans="17:25" x14ac:dyDescent="0.2">
      <c r="Q152" s="2"/>
      <c r="R152" s="2"/>
      <c r="S152" s="2"/>
      <c r="T152" s="2"/>
      <c r="U152" s="2"/>
      <c r="V152" s="2"/>
      <c r="W152" s="2"/>
      <c r="X152" s="2"/>
      <c r="Y152" s="2"/>
    </row>
    <row r="153" spans="17:25" x14ac:dyDescent="0.2">
      <c r="Q153" s="2"/>
      <c r="R153" s="2"/>
      <c r="S153" s="2"/>
      <c r="T153" s="2"/>
      <c r="U153" s="2"/>
      <c r="V153" s="2"/>
      <c r="W153" s="2"/>
      <c r="X153" s="2"/>
      <c r="Y153" s="2"/>
    </row>
    <row r="154" spans="17:25" x14ac:dyDescent="0.2">
      <c r="Q154" s="2"/>
      <c r="R154" s="2"/>
      <c r="S154" s="2"/>
      <c r="T154" s="2"/>
      <c r="U154" s="2"/>
      <c r="V154" s="2"/>
      <c r="W154" s="2"/>
      <c r="X154" s="2"/>
      <c r="Y154" s="2"/>
    </row>
    <row r="155" spans="17:25" x14ac:dyDescent="0.2">
      <c r="Q155" s="2"/>
      <c r="R155" s="2"/>
      <c r="S155" s="2"/>
      <c r="T155" s="2"/>
      <c r="U155" s="2"/>
      <c r="V155" s="2"/>
      <c r="W155" s="2"/>
      <c r="X155" s="2"/>
      <c r="Y155" s="2"/>
    </row>
    <row r="156" spans="17:25" x14ac:dyDescent="0.2">
      <c r="Q156" s="2"/>
      <c r="R156" s="2"/>
      <c r="S156" s="2"/>
      <c r="T156" s="2"/>
      <c r="U156" s="2"/>
      <c r="V156" s="2"/>
      <c r="W156" s="2"/>
      <c r="X156" s="2"/>
      <c r="Y156" s="2"/>
    </row>
    <row r="157" spans="17:25" x14ac:dyDescent="0.2">
      <c r="Q157" s="2"/>
      <c r="R157" s="2"/>
      <c r="S157" s="2"/>
      <c r="T157" s="2"/>
      <c r="U157" s="2"/>
      <c r="V157" s="2"/>
      <c r="W157" s="2"/>
      <c r="X157" s="2"/>
      <c r="Y157" s="2"/>
    </row>
    <row r="158" spans="17:25" x14ac:dyDescent="0.2">
      <c r="Q158" s="2"/>
      <c r="R158" s="2"/>
      <c r="S158" s="2"/>
      <c r="T158" s="2"/>
      <c r="U158" s="2"/>
      <c r="V158" s="2"/>
      <c r="W158" s="2"/>
      <c r="X158" s="2"/>
      <c r="Y158" s="2"/>
    </row>
    <row r="159" spans="17:25" x14ac:dyDescent="0.2">
      <c r="Q159" s="2"/>
      <c r="R159" s="2"/>
      <c r="S159" s="2"/>
      <c r="T159" s="2"/>
      <c r="U159" s="2"/>
      <c r="V159" s="2"/>
      <c r="W159" s="2"/>
      <c r="X159" s="2"/>
      <c r="Y159" s="2"/>
    </row>
    <row r="160" spans="17:25" x14ac:dyDescent="0.2">
      <c r="Q160" s="2"/>
      <c r="R160" s="2"/>
      <c r="S160" s="2"/>
      <c r="T160" s="2"/>
      <c r="U160" s="2"/>
      <c r="V160" s="2"/>
      <c r="W160" s="2"/>
      <c r="X160" s="2"/>
      <c r="Y160" s="2"/>
    </row>
    <row r="161" spans="2:25" x14ac:dyDescent="0.2">
      <c r="Q161" s="2"/>
      <c r="R161" s="2"/>
      <c r="S161" s="2"/>
      <c r="T161" s="2"/>
      <c r="U161" s="2"/>
      <c r="V161" s="2"/>
      <c r="W161" s="2"/>
      <c r="X161" s="2"/>
      <c r="Y161" s="2"/>
    </row>
    <row r="162" spans="2:25" x14ac:dyDescent="0.2">
      <c r="Q162" s="2"/>
      <c r="R162" s="2"/>
      <c r="S162" s="2"/>
      <c r="T162" s="2"/>
      <c r="U162" s="2"/>
      <c r="V162" s="2"/>
      <c r="W162" s="2"/>
      <c r="X162" s="2"/>
      <c r="Y162" s="2"/>
    </row>
    <row r="163" spans="2:25" x14ac:dyDescent="0.2">
      <c r="Q163" s="2"/>
      <c r="R163" s="2"/>
      <c r="S163" s="2"/>
      <c r="T163" s="2"/>
      <c r="U163" s="2"/>
      <c r="V163" s="2"/>
      <c r="W163" s="2"/>
      <c r="X163" s="2"/>
      <c r="Y163" s="2"/>
    </row>
    <row r="164" spans="2:25" x14ac:dyDescent="0.2">
      <c r="Q164" s="2"/>
      <c r="R164" s="2"/>
      <c r="S164" s="2"/>
      <c r="T164" s="2"/>
      <c r="U164" s="2"/>
      <c r="V164" s="2"/>
      <c r="W164" s="2"/>
      <c r="X164" s="2"/>
      <c r="Y164" s="2"/>
    </row>
    <row r="165" spans="2:25" x14ac:dyDescent="0.2">
      <c r="Q165" s="2"/>
      <c r="R165" s="2"/>
      <c r="S165" s="2"/>
      <c r="T165" s="2"/>
      <c r="U165" s="2"/>
      <c r="V165" s="2"/>
      <c r="W165" s="2"/>
      <c r="X165" s="2"/>
      <c r="Y165" s="2"/>
    </row>
    <row r="166" spans="2:25" x14ac:dyDescent="0.2">
      <c r="Q166" s="2"/>
      <c r="R166" s="2"/>
      <c r="S166" s="2"/>
      <c r="T166" s="2"/>
      <c r="U166" s="2"/>
      <c r="V166" s="2"/>
      <c r="W166" s="2"/>
      <c r="X166" s="2"/>
      <c r="Y166" s="2"/>
    </row>
    <row r="167" spans="2:25" x14ac:dyDescent="0.2">
      <c r="Q167" s="2"/>
      <c r="R167" s="2"/>
      <c r="S167" s="2"/>
      <c r="T167" s="2"/>
      <c r="U167" s="2"/>
      <c r="V167" s="2"/>
      <c r="W167" s="2"/>
      <c r="X167" s="2"/>
      <c r="Y167" s="2"/>
    </row>
    <row r="168" spans="2:25" x14ac:dyDescent="0.2">
      <c r="Q168" s="2"/>
      <c r="R168" s="2"/>
      <c r="S168" s="2"/>
      <c r="T168" s="2"/>
      <c r="U168" s="2"/>
      <c r="V168" s="2"/>
      <c r="W168" s="2"/>
      <c r="X168" s="2"/>
      <c r="Y168" s="2"/>
    </row>
    <row r="169" spans="2:25" x14ac:dyDescent="0.2">
      <c r="Q169" s="2"/>
      <c r="R169" s="2"/>
      <c r="S169" s="2"/>
      <c r="T169" s="2"/>
      <c r="U169" s="2"/>
      <c r="V169" s="2"/>
      <c r="W169" s="2"/>
      <c r="X169" s="2"/>
      <c r="Y169" s="2"/>
    </row>
    <row r="170" spans="2:25" x14ac:dyDescent="0.2">
      <c r="Q170" s="2"/>
      <c r="R170" s="2"/>
      <c r="S170" s="2"/>
      <c r="T170" s="2"/>
      <c r="U170" s="2"/>
      <c r="V170" s="2"/>
      <c r="W170" s="2"/>
      <c r="X170" s="2"/>
      <c r="Y170" s="2"/>
    </row>
    <row r="171" spans="2:25" x14ac:dyDescent="0.2">
      <c r="Q171" s="2"/>
      <c r="R171" s="2"/>
      <c r="S171" s="2"/>
      <c r="T171" s="2"/>
      <c r="U171" s="2"/>
      <c r="V171" s="2"/>
      <c r="W171" s="2"/>
      <c r="X171" s="2"/>
      <c r="Y171" s="2"/>
    </row>
    <row r="172" spans="2:25" x14ac:dyDescent="0.2">
      <c r="Q172" s="2"/>
      <c r="R172" s="2"/>
      <c r="S172" s="2"/>
      <c r="T172" s="2"/>
      <c r="U172" s="2"/>
      <c r="V172" s="2"/>
      <c r="W172" s="2"/>
      <c r="X172" s="2"/>
      <c r="Y172" s="2"/>
    </row>
    <row r="173" spans="2:25" x14ac:dyDescent="0.2">
      <c r="Q173" s="2"/>
      <c r="R173" s="2"/>
      <c r="S173" s="2"/>
      <c r="T173" s="2"/>
      <c r="U173" s="2"/>
      <c r="V173" s="2"/>
      <c r="W173" s="2"/>
      <c r="X173" s="2"/>
      <c r="Y173" s="2"/>
    </row>
    <row r="174" spans="2:25" x14ac:dyDescent="0.2">
      <c r="B174" s="3"/>
      <c r="C174" s="2"/>
      <c r="D174" s="64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2:25" x14ac:dyDescent="0.2">
      <c r="Q175" s="2"/>
      <c r="R175" s="2"/>
      <c r="S175" s="2"/>
      <c r="T175" s="2"/>
      <c r="U175" s="2"/>
      <c r="V175" s="2"/>
      <c r="W175" s="2"/>
      <c r="X175" s="2"/>
      <c r="Y175" s="2"/>
    </row>
    <row r="176" spans="2:25" x14ac:dyDescent="0.2">
      <c r="Q176" s="2"/>
      <c r="R176" s="2"/>
      <c r="S176" s="2"/>
      <c r="T176" s="2"/>
      <c r="U176" s="2"/>
      <c r="V176" s="2"/>
      <c r="W176" s="2"/>
      <c r="X176" s="2"/>
      <c r="Y176" s="2"/>
    </row>
    <row r="177" spans="17:25" x14ac:dyDescent="0.2">
      <c r="Q177" s="2"/>
      <c r="R177" s="2"/>
      <c r="S177" s="2"/>
      <c r="T177" s="2"/>
      <c r="U177" s="2"/>
      <c r="V177" s="2"/>
      <c r="W177" s="2"/>
      <c r="X177" s="2"/>
      <c r="Y177" s="2"/>
    </row>
    <row r="178" spans="17:25" x14ac:dyDescent="0.2">
      <c r="Q178" s="2"/>
      <c r="R178" s="2"/>
      <c r="S178" s="2"/>
      <c r="T178" s="2"/>
      <c r="U178" s="2"/>
      <c r="V178" s="2"/>
      <c r="W178" s="2"/>
      <c r="X178" s="2"/>
      <c r="Y178" s="2"/>
    </row>
    <row r="179" spans="17:25" x14ac:dyDescent="0.2">
      <c r="Q179" s="2"/>
      <c r="R179" s="2"/>
      <c r="S179" s="2"/>
      <c r="T179" s="2"/>
      <c r="U179" s="2"/>
      <c r="V179" s="2"/>
      <c r="W179" s="2"/>
      <c r="X179" s="2"/>
      <c r="Y179" s="2"/>
    </row>
    <row r="180" spans="17:25" x14ac:dyDescent="0.2">
      <c r="Q180" s="2"/>
      <c r="R180" s="2"/>
      <c r="S180" s="2"/>
      <c r="T180" s="2"/>
      <c r="U180" s="2"/>
      <c r="V180" s="2"/>
      <c r="W180" s="2"/>
      <c r="X180" s="2"/>
      <c r="Y180" s="2"/>
    </row>
    <row r="181" spans="17:25" x14ac:dyDescent="0.2">
      <c r="Q181" s="2"/>
      <c r="R181" s="2"/>
      <c r="S181" s="2"/>
      <c r="T181" s="2"/>
      <c r="U181" s="2"/>
      <c r="V181" s="2"/>
      <c r="W181" s="2"/>
      <c r="X181" s="2"/>
      <c r="Y181" s="2"/>
    </row>
    <row r="182" spans="17:25" x14ac:dyDescent="0.2">
      <c r="Q182" s="2"/>
      <c r="R182" s="2"/>
      <c r="S182" s="2"/>
      <c r="T182" s="2"/>
      <c r="U182" s="2"/>
      <c r="V182" s="2"/>
      <c r="W182" s="2"/>
      <c r="X182" s="2"/>
      <c r="Y182" s="2"/>
    </row>
    <row r="183" spans="17:25" x14ac:dyDescent="0.2">
      <c r="Q183" s="2"/>
      <c r="R183" s="2"/>
      <c r="S183" s="2"/>
      <c r="T183" s="2"/>
      <c r="U183" s="2"/>
      <c r="V183" s="2"/>
      <c r="W183" s="2"/>
      <c r="X183" s="2"/>
      <c r="Y183" s="2"/>
    </row>
    <row r="184" spans="17:25" x14ac:dyDescent="0.2">
      <c r="Q184" s="2"/>
      <c r="R184" s="2"/>
      <c r="S184" s="2"/>
      <c r="T184" s="2"/>
      <c r="U184" s="2"/>
      <c r="V184" s="2"/>
      <c r="W184" s="2"/>
      <c r="X184" s="2"/>
      <c r="Y184" s="2"/>
    </row>
    <row r="185" spans="17:25" x14ac:dyDescent="0.2">
      <c r="Q185" s="2"/>
      <c r="R185" s="2"/>
      <c r="S185" s="2"/>
      <c r="T185" s="2"/>
      <c r="U185" s="2"/>
      <c r="V185" s="2"/>
      <c r="W185" s="2"/>
      <c r="X185" s="2"/>
      <c r="Y185" s="2"/>
    </row>
    <row r="186" spans="17:25" x14ac:dyDescent="0.2">
      <c r="Q186" s="2"/>
      <c r="R186" s="2"/>
      <c r="S186" s="2"/>
      <c r="T186" s="2"/>
      <c r="U186" s="2"/>
      <c r="V186" s="2"/>
      <c r="W186" s="2"/>
      <c r="X186" s="2"/>
      <c r="Y186" s="2"/>
    </row>
    <row r="187" spans="17:25" x14ac:dyDescent="0.2">
      <c r="Q187" s="2"/>
      <c r="R187" s="2"/>
      <c r="S187" s="2"/>
      <c r="T187" s="2"/>
      <c r="U187" s="2"/>
      <c r="V187" s="2"/>
      <c r="W187" s="2"/>
      <c r="X187" s="2"/>
      <c r="Y187" s="2"/>
    </row>
    <row r="188" spans="17:25" x14ac:dyDescent="0.2">
      <c r="Q188" s="2"/>
      <c r="R188" s="2"/>
      <c r="S188" s="2"/>
      <c r="T188" s="2"/>
      <c r="U188" s="2"/>
      <c r="V188" s="2"/>
      <c r="W188" s="2"/>
      <c r="X188" s="2"/>
      <c r="Y188" s="2"/>
    </row>
    <row r="189" spans="17:25" x14ac:dyDescent="0.2">
      <c r="Q189" s="2"/>
      <c r="R189" s="2"/>
      <c r="S189" s="2"/>
      <c r="T189" s="2"/>
      <c r="U189" s="2"/>
      <c r="V189" s="2"/>
      <c r="W189" s="2"/>
      <c r="X189" s="2"/>
      <c r="Y189" s="2"/>
    </row>
    <row r="190" spans="17:25" x14ac:dyDescent="0.2">
      <c r="Q190" s="2"/>
      <c r="R190" s="2"/>
      <c r="S190" s="2"/>
      <c r="T190" s="2"/>
      <c r="U190" s="2"/>
      <c r="V190" s="2"/>
      <c r="W190" s="2"/>
      <c r="X190" s="2"/>
      <c r="Y190" s="2"/>
    </row>
    <row r="191" spans="17:25" x14ac:dyDescent="0.2">
      <c r="Q191" s="2"/>
      <c r="R191" s="2"/>
      <c r="S191" s="2"/>
      <c r="T191" s="2"/>
      <c r="U191" s="2"/>
      <c r="V191" s="2"/>
      <c r="W191" s="2"/>
      <c r="X191" s="2"/>
      <c r="Y191" s="2"/>
    </row>
    <row r="192" spans="17:25" x14ac:dyDescent="0.2">
      <c r="Q192" s="2"/>
      <c r="R192" s="2"/>
      <c r="S192" s="2"/>
      <c r="T192" s="2"/>
      <c r="U192" s="2"/>
      <c r="V192" s="2"/>
      <c r="W192" s="2"/>
      <c r="X192" s="2"/>
      <c r="Y192" s="2"/>
    </row>
    <row r="193" spans="17:25" x14ac:dyDescent="0.2">
      <c r="Q193" s="2"/>
      <c r="R193" s="2"/>
      <c r="S193" s="2"/>
      <c r="T193" s="2"/>
      <c r="U193" s="2"/>
      <c r="V193" s="2"/>
      <c r="W193" s="2"/>
      <c r="X193" s="2"/>
      <c r="Y193" s="2"/>
    </row>
    <row r="194" spans="17:25" x14ac:dyDescent="0.2">
      <c r="Q194" s="2"/>
      <c r="R194" s="2"/>
      <c r="S194" s="2"/>
      <c r="T194" s="2"/>
      <c r="U194" s="2"/>
      <c r="V194" s="2"/>
      <c r="W194" s="2"/>
      <c r="X194" s="2"/>
      <c r="Y194" s="2"/>
    </row>
    <row r="195" spans="17:25" x14ac:dyDescent="0.2">
      <c r="Q195" s="2"/>
      <c r="R195" s="2"/>
      <c r="S195" s="2"/>
      <c r="T195" s="2"/>
      <c r="U195" s="2"/>
      <c r="V195" s="2"/>
      <c r="W195" s="2"/>
      <c r="X195" s="2"/>
      <c r="Y195" s="2"/>
    </row>
    <row r="196" spans="17:25" x14ac:dyDescent="0.2">
      <c r="Q196" s="2"/>
      <c r="R196" s="2"/>
      <c r="S196" s="2"/>
      <c r="T196" s="2"/>
      <c r="U196" s="2"/>
      <c r="V196" s="2"/>
      <c r="W196" s="2"/>
      <c r="X196" s="2"/>
      <c r="Y196" s="2"/>
    </row>
    <row r="197" spans="17:25" x14ac:dyDescent="0.2">
      <c r="Q197" s="2"/>
      <c r="R197" s="2"/>
      <c r="S197" s="2"/>
      <c r="T197" s="2"/>
      <c r="U197" s="2"/>
      <c r="V197" s="2"/>
      <c r="W197" s="2"/>
      <c r="X197" s="2"/>
      <c r="Y197" s="2"/>
    </row>
    <row r="198" spans="17:25" x14ac:dyDescent="0.2">
      <c r="Q198" s="2"/>
      <c r="R198" s="2"/>
      <c r="S198" s="2"/>
      <c r="T198" s="2"/>
      <c r="U198" s="2"/>
      <c r="V198" s="2"/>
      <c r="W198" s="2"/>
      <c r="X198" s="2"/>
      <c r="Y198" s="2"/>
    </row>
    <row r="199" spans="17:25" x14ac:dyDescent="0.2">
      <c r="Q199" s="2"/>
      <c r="R199" s="2"/>
      <c r="S199" s="2"/>
      <c r="T199" s="2"/>
      <c r="U199" s="2"/>
      <c r="V199" s="2"/>
      <c r="W199" s="2"/>
      <c r="X199" s="2"/>
      <c r="Y199" s="2"/>
    </row>
    <row r="200" spans="17:25" x14ac:dyDescent="0.2">
      <c r="Q200" s="2"/>
      <c r="R200" s="2"/>
      <c r="S200" s="2"/>
      <c r="T200" s="2"/>
      <c r="U200" s="2"/>
      <c r="V200" s="2"/>
      <c r="W200" s="2"/>
      <c r="X200" s="2"/>
      <c r="Y200" s="2"/>
    </row>
    <row r="201" spans="17:25" x14ac:dyDescent="0.2">
      <c r="Q201" s="2"/>
      <c r="R201" s="2"/>
      <c r="S201" s="2"/>
      <c r="T201" s="2"/>
      <c r="U201" s="2"/>
      <c r="V201" s="2"/>
      <c r="W201" s="2"/>
      <c r="X201" s="2"/>
      <c r="Y201" s="2"/>
    </row>
    <row r="202" spans="17:25" x14ac:dyDescent="0.2">
      <c r="Q202" s="2"/>
      <c r="R202" s="2"/>
      <c r="S202" s="2"/>
      <c r="T202" s="2"/>
      <c r="U202" s="2"/>
      <c r="V202" s="2"/>
      <c r="W202" s="2"/>
      <c r="X202" s="2"/>
      <c r="Y202" s="2"/>
    </row>
    <row r="203" spans="17:25" x14ac:dyDescent="0.2">
      <c r="Q203" s="2"/>
      <c r="R203" s="2"/>
      <c r="S203" s="2"/>
      <c r="T203" s="2"/>
      <c r="U203" s="2"/>
      <c r="V203" s="2"/>
      <c r="W203" s="2"/>
      <c r="X203" s="2"/>
      <c r="Y203" s="2"/>
    </row>
    <row r="204" spans="17:25" x14ac:dyDescent="0.2">
      <c r="Q204" s="2"/>
      <c r="R204" s="2"/>
      <c r="S204" s="2"/>
      <c r="T204" s="2"/>
      <c r="U204" s="2"/>
      <c r="V204" s="2"/>
      <c r="W204" s="2"/>
      <c r="X204" s="2"/>
      <c r="Y204" s="2"/>
    </row>
    <row r="205" spans="17:25" x14ac:dyDescent="0.2">
      <c r="Q205" s="2"/>
      <c r="R205" s="2"/>
      <c r="S205" s="2"/>
      <c r="T205" s="2"/>
      <c r="U205" s="2"/>
      <c r="V205" s="2"/>
      <c r="W205" s="2"/>
      <c r="X205" s="2"/>
      <c r="Y205" s="2"/>
    </row>
    <row r="206" spans="17:25" x14ac:dyDescent="0.2">
      <c r="Q206" s="2"/>
      <c r="R206" s="2"/>
      <c r="S206" s="2"/>
      <c r="T206" s="2"/>
      <c r="U206" s="2"/>
      <c r="V206" s="2"/>
      <c r="W206" s="2"/>
      <c r="X206" s="2"/>
      <c r="Y206" s="2"/>
    </row>
    <row r="207" spans="17:25" x14ac:dyDescent="0.2">
      <c r="Q207" s="2"/>
      <c r="R207" s="2"/>
      <c r="S207" s="2"/>
      <c r="T207" s="2"/>
      <c r="U207" s="2"/>
      <c r="V207" s="2"/>
      <c r="W207" s="2"/>
      <c r="X207" s="2"/>
      <c r="Y207" s="2"/>
    </row>
    <row r="208" spans="17:25" x14ac:dyDescent="0.2">
      <c r="Q208" s="2"/>
      <c r="R208" s="2"/>
      <c r="S208" s="2"/>
      <c r="T208" s="2"/>
      <c r="U208" s="2"/>
      <c r="V208" s="2"/>
      <c r="W208" s="2"/>
      <c r="X208" s="2"/>
      <c r="Y208" s="2"/>
    </row>
    <row r="209" spans="17:25" x14ac:dyDescent="0.2">
      <c r="Q209" s="2"/>
      <c r="R209" s="2"/>
      <c r="S209" s="2"/>
      <c r="T209" s="2"/>
      <c r="U209" s="2"/>
      <c r="V209" s="2"/>
      <c r="W209" s="2"/>
      <c r="X209" s="2"/>
      <c r="Y209" s="2"/>
    </row>
    <row r="210" spans="17:25" x14ac:dyDescent="0.2">
      <c r="Q210" s="2"/>
      <c r="R210" s="2"/>
      <c r="S210" s="2"/>
      <c r="T210" s="2"/>
      <c r="U210" s="2"/>
      <c r="V210" s="2"/>
      <c r="W210" s="2"/>
      <c r="X210" s="2"/>
      <c r="Y210" s="2"/>
    </row>
    <row r="211" spans="17:25" x14ac:dyDescent="0.2">
      <c r="Q211" s="2"/>
      <c r="R211" s="2"/>
      <c r="S211" s="2"/>
      <c r="T211" s="2"/>
      <c r="U211" s="2"/>
      <c r="V211" s="2"/>
      <c r="W211" s="2"/>
      <c r="X211" s="2"/>
      <c r="Y211" s="2"/>
    </row>
    <row r="212" spans="17:25" x14ac:dyDescent="0.2">
      <c r="Q212" s="2"/>
      <c r="R212" s="2"/>
      <c r="S212" s="2"/>
      <c r="T212" s="2"/>
      <c r="U212" s="2"/>
      <c r="V212" s="2"/>
      <c r="W212" s="2"/>
      <c r="X212" s="2"/>
      <c r="Y212" s="2"/>
    </row>
    <row r="213" spans="17:25" x14ac:dyDescent="0.2">
      <c r="Q213" s="2"/>
      <c r="R213" s="2"/>
      <c r="S213" s="2"/>
      <c r="T213" s="2"/>
      <c r="U213" s="2"/>
      <c r="V213" s="2"/>
      <c r="W213" s="2"/>
      <c r="X213" s="2"/>
      <c r="Y213" s="2"/>
    </row>
    <row r="214" spans="17:25" x14ac:dyDescent="0.2">
      <c r="Q214" s="2"/>
      <c r="R214" s="2"/>
      <c r="S214" s="2"/>
      <c r="T214" s="2"/>
      <c r="U214" s="2"/>
      <c r="V214" s="2"/>
      <c r="W214" s="2"/>
      <c r="X214" s="2"/>
      <c r="Y214" s="2"/>
    </row>
    <row r="215" spans="17:25" x14ac:dyDescent="0.2">
      <c r="Q215" s="2"/>
      <c r="R215" s="2"/>
      <c r="S215" s="2"/>
      <c r="T215" s="2"/>
      <c r="U215" s="2"/>
      <c r="V215" s="2"/>
      <c r="W215" s="2"/>
      <c r="X215" s="2"/>
      <c r="Y215" s="2"/>
    </row>
    <row r="216" spans="17:25" x14ac:dyDescent="0.2">
      <c r="Q216" s="2"/>
      <c r="R216" s="2"/>
      <c r="S216" s="2"/>
      <c r="T216" s="2"/>
      <c r="U216" s="2"/>
      <c r="V216" s="2"/>
      <c r="W216" s="2"/>
      <c r="X216" s="2"/>
      <c r="Y216" s="2"/>
    </row>
    <row r="217" spans="17:25" x14ac:dyDescent="0.2">
      <c r="Q217" s="2"/>
      <c r="R217" s="2"/>
      <c r="S217" s="2"/>
      <c r="T217" s="2"/>
      <c r="U217" s="2"/>
      <c r="V217" s="2"/>
      <c r="W217" s="2"/>
      <c r="X217" s="2"/>
      <c r="Y217" s="2"/>
    </row>
    <row r="218" spans="17:25" x14ac:dyDescent="0.2">
      <c r="Q218" s="2"/>
      <c r="R218" s="2"/>
      <c r="S218" s="2"/>
      <c r="T218" s="2"/>
      <c r="U218" s="2"/>
      <c r="V218" s="2"/>
      <c r="W218" s="2"/>
      <c r="X218" s="2"/>
      <c r="Y218" s="2"/>
    </row>
    <row r="219" spans="17:25" x14ac:dyDescent="0.2">
      <c r="Q219" s="2"/>
      <c r="R219" s="2"/>
      <c r="S219" s="2"/>
      <c r="T219" s="2"/>
      <c r="U219" s="2"/>
      <c r="V219" s="2"/>
      <c r="W219" s="2"/>
      <c r="X219" s="2"/>
      <c r="Y219" s="2"/>
    </row>
    <row r="220" spans="17:25" x14ac:dyDescent="0.2">
      <c r="Q220" s="2"/>
      <c r="R220" s="2"/>
      <c r="S220" s="2"/>
      <c r="T220" s="2"/>
      <c r="U220" s="2"/>
      <c r="V220" s="2"/>
      <c r="W220" s="2"/>
      <c r="X220" s="2"/>
      <c r="Y220" s="2"/>
    </row>
    <row r="221" spans="17:25" x14ac:dyDescent="0.2">
      <c r="Q221" s="2"/>
      <c r="R221" s="2"/>
      <c r="S221" s="2"/>
      <c r="T221" s="2"/>
      <c r="U221" s="2"/>
      <c r="V221" s="2"/>
      <c r="W221" s="2"/>
      <c r="X221" s="2"/>
      <c r="Y221" s="2"/>
    </row>
    <row r="222" spans="17:25" x14ac:dyDescent="0.2">
      <c r="Q222" s="2"/>
      <c r="R222" s="2"/>
      <c r="S222" s="2"/>
      <c r="T222" s="2"/>
      <c r="U222" s="2"/>
      <c r="V222" s="2"/>
      <c r="W222" s="2"/>
      <c r="X222" s="2"/>
      <c r="Y222" s="2"/>
    </row>
    <row r="223" spans="17:25" x14ac:dyDescent="0.2">
      <c r="Q223" s="2"/>
      <c r="R223" s="2"/>
      <c r="S223" s="2"/>
      <c r="T223" s="2"/>
      <c r="U223" s="2"/>
      <c r="V223" s="2"/>
      <c r="W223" s="2"/>
      <c r="X223" s="2"/>
      <c r="Y223" s="2"/>
    </row>
    <row r="224" spans="17:25" x14ac:dyDescent="0.2">
      <c r="Q224" s="2"/>
      <c r="R224" s="2"/>
      <c r="S224" s="2"/>
      <c r="T224" s="2"/>
      <c r="U224" s="2"/>
      <c r="V224" s="2"/>
      <c r="W224" s="2"/>
      <c r="X224" s="2"/>
      <c r="Y224" s="2"/>
    </row>
    <row r="225" spans="2:25" x14ac:dyDescent="0.2">
      <c r="Q225" s="2"/>
      <c r="R225" s="2"/>
      <c r="S225" s="2"/>
      <c r="T225" s="2"/>
      <c r="U225" s="2"/>
      <c r="V225" s="2"/>
      <c r="W225" s="2"/>
      <c r="X225" s="2"/>
      <c r="Y225" s="2"/>
    </row>
    <row r="226" spans="2:25" x14ac:dyDescent="0.2">
      <c r="Q226" s="2"/>
      <c r="R226" s="2"/>
      <c r="S226" s="2"/>
      <c r="T226" s="2"/>
      <c r="U226" s="2"/>
      <c r="V226" s="2"/>
      <c r="W226" s="2"/>
      <c r="X226" s="2"/>
      <c r="Y226" s="2"/>
    </row>
    <row r="227" spans="2:25" x14ac:dyDescent="0.2">
      <c r="Q227" s="2"/>
      <c r="R227" s="2"/>
      <c r="S227" s="2"/>
      <c r="T227" s="2"/>
      <c r="U227" s="2"/>
      <c r="V227" s="2"/>
      <c r="W227" s="2"/>
      <c r="X227" s="2"/>
      <c r="Y227" s="2"/>
    </row>
    <row r="228" spans="2:25" x14ac:dyDescent="0.2">
      <c r="Q228" s="2"/>
      <c r="R228" s="2"/>
      <c r="S228" s="2"/>
      <c r="T228" s="2"/>
      <c r="U228" s="2"/>
      <c r="V228" s="2"/>
      <c r="W228" s="2"/>
      <c r="X228" s="2"/>
      <c r="Y228" s="2"/>
    </row>
    <row r="229" spans="2:25" x14ac:dyDescent="0.2">
      <c r="Q229" s="2"/>
      <c r="R229" s="2"/>
      <c r="S229" s="2"/>
      <c r="T229" s="2"/>
      <c r="U229" s="2"/>
      <c r="V229" s="2"/>
      <c r="W229" s="2"/>
      <c r="X229" s="2"/>
      <c r="Y229" s="2"/>
    </row>
    <row r="230" spans="2:25" x14ac:dyDescent="0.2">
      <c r="Q230" s="2"/>
      <c r="R230" s="2"/>
      <c r="S230" s="2"/>
      <c r="T230" s="2"/>
      <c r="U230" s="2"/>
      <c r="V230" s="2"/>
      <c r="W230" s="2"/>
      <c r="X230" s="2"/>
      <c r="Y230" s="2"/>
    </row>
    <row r="231" spans="2:25" x14ac:dyDescent="0.2">
      <c r="B231" s="3"/>
      <c r="C231" s="38"/>
      <c r="D231" s="85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"/>
      <c r="R231" s="2"/>
      <c r="S231" s="2"/>
      <c r="T231" s="2"/>
      <c r="U231" s="2"/>
      <c r="V231" s="2"/>
      <c r="W231" s="2"/>
      <c r="X231" s="2"/>
      <c r="Y231" s="2"/>
    </row>
    <row r="232" spans="2:25" x14ac:dyDescent="0.2">
      <c r="Q232" s="2"/>
      <c r="R232" s="2"/>
      <c r="S232" s="2"/>
      <c r="T232" s="2"/>
      <c r="U232" s="2"/>
      <c r="V232" s="2"/>
      <c r="W232" s="2"/>
      <c r="X232" s="2"/>
      <c r="Y232" s="2"/>
    </row>
    <row r="233" spans="2:25" x14ac:dyDescent="0.2">
      <c r="Q233" s="2"/>
      <c r="R233" s="2"/>
      <c r="S233" s="2"/>
      <c r="T233" s="2"/>
      <c r="U233" s="2"/>
      <c r="V233" s="2"/>
      <c r="W233" s="2"/>
      <c r="X233" s="2"/>
      <c r="Y233" s="2"/>
    </row>
    <row r="234" spans="2:25" x14ac:dyDescent="0.2">
      <c r="Q234" s="2"/>
      <c r="R234" s="2"/>
      <c r="S234" s="2"/>
      <c r="T234" s="2"/>
      <c r="U234" s="2"/>
      <c r="V234" s="2"/>
      <c r="W234" s="2"/>
      <c r="X234" s="2"/>
      <c r="Y234" s="2"/>
    </row>
    <row r="235" spans="2:25" x14ac:dyDescent="0.2">
      <c r="Q235" s="2"/>
      <c r="R235" s="2"/>
      <c r="S235" s="2"/>
      <c r="T235" s="2"/>
      <c r="U235" s="2"/>
      <c r="V235" s="2"/>
      <c r="W235" s="2"/>
      <c r="X235" s="2"/>
      <c r="Y235" s="2"/>
    </row>
    <row r="236" spans="2:25" x14ac:dyDescent="0.2">
      <c r="Q236" s="2"/>
      <c r="R236" s="2"/>
      <c r="S236" s="2"/>
      <c r="T236" s="2"/>
      <c r="U236" s="2"/>
      <c r="V236" s="2"/>
      <c r="W236" s="2"/>
      <c r="X236" s="2"/>
      <c r="Y236" s="2"/>
    </row>
    <row r="237" spans="2:25" x14ac:dyDescent="0.2">
      <c r="Q237" s="2"/>
      <c r="R237" s="2"/>
      <c r="S237" s="2"/>
      <c r="T237" s="2"/>
      <c r="U237" s="2"/>
      <c r="V237" s="2"/>
      <c r="W237" s="2"/>
      <c r="X237" s="2"/>
      <c r="Y237" s="2"/>
    </row>
    <row r="238" spans="2:25" x14ac:dyDescent="0.2">
      <c r="Q238" s="2"/>
      <c r="R238" s="2"/>
      <c r="S238" s="2"/>
      <c r="T238" s="2"/>
      <c r="U238" s="2"/>
      <c r="V238" s="2"/>
      <c r="W238" s="2"/>
      <c r="X238" s="2"/>
      <c r="Y238" s="2"/>
    </row>
    <row r="239" spans="2:25" x14ac:dyDescent="0.2">
      <c r="Q239" s="2"/>
      <c r="R239" s="2"/>
      <c r="S239" s="2"/>
      <c r="T239" s="2"/>
      <c r="U239" s="2"/>
      <c r="V239" s="2"/>
      <c r="W239" s="2"/>
      <c r="X239" s="2"/>
      <c r="Y239" s="2"/>
    </row>
    <row r="240" spans="2:25" x14ac:dyDescent="0.2">
      <c r="Q240" s="2"/>
      <c r="R240" s="2"/>
      <c r="S240" s="2"/>
      <c r="T240" s="2"/>
      <c r="U240" s="2"/>
      <c r="V240" s="2"/>
      <c r="W240" s="2"/>
      <c r="X240" s="2"/>
      <c r="Y240" s="2"/>
    </row>
    <row r="241" spans="17:25" x14ac:dyDescent="0.2">
      <c r="Q241" s="2"/>
      <c r="R241" s="2"/>
      <c r="S241" s="2"/>
      <c r="T241" s="2"/>
      <c r="U241" s="2"/>
      <c r="V241" s="2"/>
      <c r="W241" s="2"/>
      <c r="X241" s="2"/>
      <c r="Y241" s="2"/>
    </row>
    <row r="242" spans="17:25" x14ac:dyDescent="0.2">
      <c r="Q242" s="2"/>
      <c r="R242" s="2"/>
      <c r="S242" s="2"/>
      <c r="T242" s="2"/>
      <c r="U242" s="2"/>
      <c r="V242" s="2"/>
      <c r="W242" s="2"/>
      <c r="X242" s="2"/>
      <c r="Y242" s="2"/>
    </row>
    <row r="243" spans="17:25" x14ac:dyDescent="0.2">
      <c r="Q243" s="2"/>
      <c r="R243" s="2"/>
      <c r="S243" s="2"/>
      <c r="T243" s="2"/>
      <c r="U243" s="2"/>
      <c r="V243" s="2"/>
      <c r="W243" s="2"/>
      <c r="X243" s="2"/>
      <c r="Y243" s="2"/>
    </row>
    <row r="244" spans="17:25" x14ac:dyDescent="0.2">
      <c r="Q244" s="2"/>
      <c r="R244" s="2"/>
      <c r="S244" s="2"/>
      <c r="T244" s="2"/>
      <c r="U244" s="2"/>
      <c r="V244" s="2"/>
      <c r="W244" s="2"/>
      <c r="X244" s="2"/>
      <c r="Y244" s="2"/>
    </row>
    <row r="245" spans="17:25" x14ac:dyDescent="0.2">
      <c r="Q245" s="2"/>
      <c r="R245" s="2"/>
      <c r="S245" s="2"/>
      <c r="T245" s="2"/>
      <c r="U245" s="2"/>
      <c r="V245" s="2"/>
      <c r="W245" s="2"/>
      <c r="X245" s="2"/>
      <c r="Y245" s="2"/>
    </row>
    <row r="246" spans="17:25" x14ac:dyDescent="0.2">
      <c r="Q246" s="2"/>
      <c r="R246" s="2"/>
      <c r="S246" s="2"/>
      <c r="T246" s="2"/>
      <c r="U246" s="2"/>
      <c r="V246" s="2"/>
      <c r="W246" s="2"/>
      <c r="X246" s="2"/>
      <c r="Y246" s="2"/>
    </row>
    <row r="247" spans="17:25" x14ac:dyDescent="0.2">
      <c r="Q247" s="2"/>
      <c r="R247" s="2"/>
      <c r="S247" s="2"/>
      <c r="T247" s="2"/>
      <c r="U247" s="2"/>
      <c r="V247" s="2"/>
      <c r="W247" s="2"/>
      <c r="X247" s="2"/>
      <c r="Y247" s="2"/>
    </row>
    <row r="248" spans="17:25" x14ac:dyDescent="0.2">
      <c r="Q248" s="2"/>
      <c r="R248" s="2"/>
      <c r="S248" s="2"/>
      <c r="T248" s="2"/>
      <c r="U248" s="2"/>
      <c r="V248" s="2"/>
      <c r="W248" s="2"/>
      <c r="X248" s="2"/>
      <c r="Y248" s="2"/>
    </row>
    <row r="249" spans="17:25" x14ac:dyDescent="0.2">
      <c r="Q249" s="2"/>
      <c r="R249" s="2"/>
      <c r="S249" s="2"/>
      <c r="T249" s="2"/>
      <c r="U249" s="2"/>
      <c r="V249" s="2"/>
      <c r="W249" s="2"/>
      <c r="X249" s="2"/>
      <c r="Y249" s="2"/>
    </row>
    <row r="250" spans="17:25" x14ac:dyDescent="0.2">
      <c r="Q250" s="2"/>
      <c r="R250" s="2"/>
      <c r="S250" s="2"/>
      <c r="T250" s="2"/>
      <c r="U250" s="2"/>
      <c r="V250" s="2"/>
      <c r="W250" s="2"/>
      <c r="X250" s="2"/>
      <c r="Y250" s="2"/>
    </row>
    <row r="251" spans="17:25" x14ac:dyDescent="0.2">
      <c r="Q251" s="2"/>
      <c r="R251" s="2"/>
      <c r="S251" s="2"/>
      <c r="T251" s="2"/>
      <c r="U251" s="2"/>
      <c r="V251" s="2"/>
      <c r="W251" s="2"/>
      <c r="X251" s="2"/>
      <c r="Y251" s="2"/>
    </row>
    <row r="252" spans="17:25" x14ac:dyDescent="0.2">
      <c r="Q252" s="2"/>
      <c r="R252" s="2"/>
      <c r="S252" s="2"/>
      <c r="T252" s="2"/>
      <c r="U252" s="2"/>
      <c r="V252" s="2"/>
      <c r="W252" s="2"/>
      <c r="X252" s="2"/>
      <c r="Y252" s="2"/>
    </row>
    <row r="253" spans="17:25" x14ac:dyDescent="0.2">
      <c r="Q253" s="2"/>
      <c r="R253" s="2"/>
      <c r="S253" s="2"/>
      <c r="T253" s="2"/>
      <c r="U253" s="2"/>
      <c r="V253" s="2"/>
      <c r="W253" s="2"/>
      <c r="X253" s="2"/>
      <c r="Y253" s="2"/>
    </row>
    <row r="254" spans="17:25" x14ac:dyDescent="0.2">
      <c r="Q254" s="2"/>
      <c r="R254" s="2"/>
      <c r="S254" s="2"/>
      <c r="T254" s="2"/>
      <c r="U254" s="2"/>
      <c r="V254" s="2"/>
      <c r="W254" s="2"/>
      <c r="X254" s="2"/>
      <c r="Y254" s="2"/>
    </row>
    <row r="255" spans="17:25" x14ac:dyDescent="0.2">
      <c r="Q255" s="2"/>
      <c r="R255" s="2"/>
      <c r="S255" s="2"/>
      <c r="T255" s="2"/>
      <c r="U255" s="2"/>
      <c r="V255" s="2"/>
      <c r="W255" s="2"/>
      <c r="X255" s="2"/>
      <c r="Y255" s="2"/>
    </row>
    <row r="256" spans="17:25" x14ac:dyDescent="0.2">
      <c r="Q256" s="2"/>
      <c r="R256" s="2"/>
      <c r="S256" s="2"/>
      <c r="T256" s="2"/>
      <c r="U256" s="2"/>
      <c r="V256" s="2"/>
      <c r="W256" s="2"/>
      <c r="X256" s="2"/>
      <c r="Y256" s="2"/>
    </row>
    <row r="257" spans="17:25" x14ac:dyDescent="0.2">
      <c r="Q257" s="2"/>
      <c r="R257" s="2"/>
      <c r="S257" s="2"/>
      <c r="T257" s="2"/>
      <c r="U257" s="2"/>
      <c r="V257" s="2"/>
      <c r="W257" s="2"/>
      <c r="X257" s="2"/>
      <c r="Y257" s="2"/>
    </row>
    <row r="258" spans="17:25" x14ac:dyDescent="0.2">
      <c r="Q258" s="2"/>
      <c r="R258" s="2"/>
      <c r="S258" s="2"/>
      <c r="T258" s="2"/>
      <c r="U258" s="2"/>
      <c r="V258" s="2"/>
      <c r="W258" s="2"/>
      <c r="X258" s="2"/>
      <c r="Y258" s="2"/>
    </row>
    <row r="259" spans="17:25" x14ac:dyDescent="0.2">
      <c r="Q259" s="2"/>
      <c r="R259" s="2"/>
      <c r="S259" s="2"/>
      <c r="T259" s="2"/>
      <c r="U259" s="2"/>
      <c r="V259" s="2"/>
      <c r="W259" s="2"/>
      <c r="X259" s="2"/>
      <c r="Y259" s="2"/>
    </row>
    <row r="260" spans="17:25" x14ac:dyDescent="0.2">
      <c r="Q260" s="2"/>
      <c r="R260" s="2"/>
      <c r="S260" s="2"/>
      <c r="T260" s="2"/>
      <c r="U260" s="2"/>
      <c r="V260" s="2"/>
      <c r="W260" s="2"/>
      <c r="X260" s="2"/>
      <c r="Y260" s="2"/>
    </row>
    <row r="261" spans="17:25" x14ac:dyDescent="0.2">
      <c r="Q261" s="2"/>
      <c r="R261" s="2"/>
      <c r="S261" s="2"/>
      <c r="T261" s="2"/>
      <c r="U261" s="2"/>
      <c r="V261" s="2"/>
      <c r="W261" s="2"/>
      <c r="X261" s="2"/>
      <c r="Y261" s="2"/>
    </row>
    <row r="262" spans="17:25" x14ac:dyDescent="0.2">
      <c r="Q262" s="2"/>
      <c r="R262" s="2"/>
      <c r="S262" s="2"/>
      <c r="T262" s="2"/>
      <c r="U262" s="2"/>
      <c r="V262" s="2"/>
      <c r="W262" s="2"/>
      <c r="X262" s="2"/>
      <c r="Y262" s="2"/>
    </row>
    <row r="263" spans="17:25" x14ac:dyDescent="0.2">
      <c r="Q263" s="2"/>
      <c r="R263" s="2"/>
      <c r="S263" s="2"/>
      <c r="T263" s="2"/>
      <c r="U263" s="2"/>
      <c r="V263" s="2"/>
      <c r="W263" s="2"/>
      <c r="X263" s="2"/>
      <c r="Y263" s="2"/>
    </row>
    <row r="264" spans="17:25" x14ac:dyDescent="0.2">
      <c r="Q264" s="2"/>
      <c r="R264" s="2"/>
      <c r="S264" s="2"/>
      <c r="T264" s="2"/>
      <c r="U264" s="2"/>
      <c r="V264" s="2"/>
      <c r="W264" s="2"/>
      <c r="X264" s="2"/>
      <c r="Y264" s="2"/>
    </row>
    <row r="265" spans="17:25" x14ac:dyDescent="0.2">
      <c r="Q265" s="2"/>
      <c r="R265" s="2"/>
      <c r="S265" s="2"/>
      <c r="T265" s="2"/>
      <c r="U265" s="2"/>
      <c r="V265" s="2"/>
      <c r="W265" s="2"/>
      <c r="X265" s="2"/>
      <c r="Y265" s="2"/>
    </row>
    <row r="266" spans="17:25" x14ac:dyDescent="0.2">
      <c r="Q266" s="2"/>
      <c r="R266" s="2"/>
      <c r="S266" s="2"/>
      <c r="T266" s="2"/>
      <c r="U266" s="2"/>
      <c r="V266" s="2"/>
      <c r="W266" s="2"/>
      <c r="X266" s="2"/>
      <c r="Y266" s="2"/>
    </row>
    <row r="267" spans="17:25" x14ac:dyDescent="0.2">
      <c r="Q267" s="2"/>
      <c r="R267" s="2"/>
      <c r="S267" s="2"/>
      <c r="T267" s="2"/>
      <c r="U267" s="2"/>
      <c r="V267" s="2"/>
      <c r="W267" s="2"/>
      <c r="X267" s="2"/>
      <c r="Y267" s="2"/>
    </row>
    <row r="268" spans="17:25" x14ac:dyDescent="0.2">
      <c r="Q268" s="2"/>
      <c r="R268" s="2"/>
      <c r="S268" s="2"/>
      <c r="T268" s="2"/>
      <c r="U268" s="2"/>
      <c r="V268" s="2"/>
      <c r="W268" s="2"/>
      <c r="X268" s="2"/>
      <c r="Y268" s="2"/>
    </row>
    <row r="269" spans="17:25" x14ac:dyDescent="0.2">
      <c r="Q269" s="2"/>
      <c r="R269" s="2"/>
      <c r="S269" s="2"/>
      <c r="T269" s="2"/>
      <c r="U269" s="2"/>
      <c r="V269" s="2"/>
      <c r="W269" s="2"/>
      <c r="X269" s="2"/>
      <c r="Y269" s="2"/>
    </row>
    <row r="270" spans="17:25" x14ac:dyDescent="0.2">
      <c r="Q270" s="2"/>
      <c r="R270" s="2"/>
      <c r="S270" s="2"/>
      <c r="T270" s="2"/>
      <c r="U270" s="2"/>
      <c r="V270" s="2"/>
      <c r="W270" s="2"/>
      <c r="X270" s="2"/>
      <c r="Y270" s="2"/>
    </row>
    <row r="271" spans="17:25" x14ac:dyDescent="0.2">
      <c r="Q271" s="2"/>
      <c r="R271" s="2"/>
      <c r="S271" s="2"/>
      <c r="T271" s="2"/>
      <c r="U271" s="2"/>
      <c r="V271" s="2"/>
      <c r="W271" s="2"/>
      <c r="X271" s="2"/>
      <c r="Y271" s="2"/>
    </row>
    <row r="272" spans="17:25" x14ac:dyDescent="0.2">
      <c r="Q272" s="2"/>
      <c r="R272" s="2"/>
      <c r="S272" s="2"/>
      <c r="T272" s="2"/>
      <c r="U272" s="2"/>
      <c r="V272" s="2"/>
      <c r="W272" s="2"/>
      <c r="X272" s="2"/>
      <c r="Y272" s="2"/>
    </row>
    <row r="273" spans="17:25" x14ac:dyDescent="0.2">
      <c r="Q273" s="2"/>
      <c r="R273" s="2"/>
      <c r="S273" s="2"/>
      <c r="T273" s="2"/>
      <c r="U273" s="2"/>
      <c r="V273" s="2"/>
      <c r="W273" s="2"/>
      <c r="X273" s="2"/>
      <c r="Y273" s="2"/>
    </row>
    <row r="274" spans="17:25" x14ac:dyDescent="0.2">
      <c r="Q274" s="2"/>
      <c r="R274" s="2"/>
      <c r="S274" s="2"/>
      <c r="T274" s="2"/>
      <c r="U274" s="2"/>
      <c r="V274" s="2"/>
      <c r="W274" s="2"/>
      <c r="X274" s="2"/>
      <c r="Y274" s="2"/>
    </row>
    <row r="275" spans="17:25" x14ac:dyDescent="0.2">
      <c r="Q275" s="2"/>
      <c r="R275" s="2"/>
      <c r="S275" s="2"/>
      <c r="T275" s="2"/>
      <c r="U275" s="2"/>
      <c r="V275" s="2"/>
      <c r="W275" s="2"/>
      <c r="X275" s="2"/>
      <c r="Y275" s="2"/>
    </row>
    <row r="276" spans="17:25" x14ac:dyDescent="0.2">
      <c r="Q276" s="2"/>
      <c r="R276" s="2"/>
      <c r="S276" s="2"/>
      <c r="T276" s="2"/>
      <c r="U276" s="2"/>
      <c r="V276" s="2"/>
      <c r="W276" s="2"/>
      <c r="X276" s="2"/>
      <c r="Y276" s="2"/>
    </row>
    <row r="277" spans="17:25" x14ac:dyDescent="0.2">
      <c r="Q277" s="2"/>
      <c r="R277" s="2"/>
      <c r="S277" s="2"/>
      <c r="T277" s="2"/>
      <c r="U277" s="2"/>
      <c r="V277" s="2"/>
      <c r="W277" s="2"/>
      <c r="X277" s="2"/>
      <c r="Y277" s="2"/>
    </row>
    <row r="278" spans="17:25" x14ac:dyDescent="0.2">
      <c r="Q278" s="2"/>
      <c r="R278" s="2"/>
      <c r="S278" s="2"/>
      <c r="T278" s="2"/>
      <c r="U278" s="2"/>
      <c r="V278" s="2"/>
      <c r="W278" s="2"/>
      <c r="X278" s="2"/>
      <c r="Y278" s="2"/>
    </row>
    <row r="279" spans="17:25" x14ac:dyDescent="0.2">
      <c r="Q279" s="2"/>
      <c r="R279" s="2"/>
      <c r="S279" s="2"/>
      <c r="T279" s="2"/>
      <c r="U279" s="2"/>
      <c r="V279" s="2"/>
      <c r="W279" s="2"/>
      <c r="X279" s="2"/>
      <c r="Y279" s="2"/>
    </row>
    <row r="280" spans="17:25" x14ac:dyDescent="0.2">
      <c r="Q280" s="2"/>
      <c r="R280" s="2"/>
      <c r="S280" s="2"/>
      <c r="T280" s="2"/>
      <c r="U280" s="2"/>
      <c r="V280" s="2"/>
      <c r="W280" s="2"/>
      <c r="X280" s="2"/>
      <c r="Y280" s="2"/>
    </row>
    <row r="281" spans="17:25" x14ac:dyDescent="0.2">
      <c r="Q281" s="2"/>
      <c r="R281" s="2"/>
      <c r="S281" s="2"/>
      <c r="T281" s="2"/>
      <c r="U281" s="2"/>
      <c r="V281" s="2"/>
      <c r="W281" s="2"/>
      <c r="X281" s="2"/>
      <c r="Y281" s="2"/>
    </row>
    <row r="282" spans="17:25" x14ac:dyDescent="0.2">
      <c r="Q282" s="2"/>
      <c r="R282" s="2"/>
      <c r="S282" s="2"/>
      <c r="T282" s="2"/>
      <c r="U282" s="2"/>
      <c r="V282" s="2"/>
      <c r="W282" s="2"/>
      <c r="X282" s="2"/>
      <c r="Y282" s="2"/>
    </row>
    <row r="283" spans="17:25" x14ac:dyDescent="0.2">
      <c r="Q283" s="2"/>
      <c r="R283" s="2"/>
      <c r="S283" s="2"/>
      <c r="T283" s="2"/>
      <c r="U283" s="2"/>
      <c r="V283" s="2"/>
      <c r="W283" s="2"/>
      <c r="X283" s="2"/>
      <c r="Y283" s="2"/>
    </row>
    <row r="284" spans="17:25" x14ac:dyDescent="0.2">
      <c r="Q284" s="2"/>
      <c r="R284" s="2"/>
      <c r="S284" s="2"/>
      <c r="T284" s="2"/>
      <c r="U284" s="2"/>
      <c r="V284" s="2"/>
      <c r="W284" s="2"/>
      <c r="X284" s="2"/>
      <c r="Y284" s="2"/>
    </row>
    <row r="285" spans="17:25" x14ac:dyDescent="0.2">
      <c r="Q285" s="2"/>
      <c r="R285" s="2"/>
      <c r="S285" s="2"/>
      <c r="T285" s="2"/>
      <c r="U285" s="2"/>
      <c r="V285" s="2"/>
      <c r="W285" s="2"/>
      <c r="X285" s="2"/>
      <c r="Y285" s="2"/>
    </row>
    <row r="286" spans="17:25" x14ac:dyDescent="0.2">
      <c r="Q286" s="2"/>
      <c r="R286" s="2"/>
      <c r="S286" s="2"/>
      <c r="T286" s="2"/>
      <c r="U286" s="2"/>
      <c r="V286" s="2"/>
      <c r="W286" s="2"/>
      <c r="X286" s="2"/>
      <c r="Y286" s="2"/>
    </row>
    <row r="287" spans="17:25" x14ac:dyDescent="0.2">
      <c r="Q287" s="2"/>
      <c r="R287" s="2"/>
      <c r="S287" s="2"/>
      <c r="T287" s="2"/>
      <c r="U287" s="2"/>
      <c r="V287" s="2"/>
      <c r="W287" s="2"/>
      <c r="X287" s="2"/>
      <c r="Y287" s="2"/>
    </row>
    <row r="288" spans="17:25" x14ac:dyDescent="0.2">
      <c r="Q288" s="2"/>
      <c r="R288" s="2"/>
      <c r="S288" s="2"/>
      <c r="T288" s="2"/>
      <c r="U288" s="2"/>
      <c r="V288" s="2"/>
      <c r="W288" s="2"/>
      <c r="X288" s="2"/>
      <c r="Y288" s="2"/>
    </row>
    <row r="289" spans="2:25" x14ac:dyDescent="0.2">
      <c r="Q289" s="2"/>
      <c r="R289" s="2"/>
      <c r="S289" s="2"/>
      <c r="T289" s="2"/>
      <c r="U289" s="2"/>
      <c r="V289" s="2"/>
      <c r="W289" s="2"/>
      <c r="X289" s="2"/>
      <c r="Y289" s="2"/>
    </row>
    <row r="290" spans="2:25" x14ac:dyDescent="0.2">
      <c r="Q290" s="2"/>
      <c r="R290" s="2"/>
      <c r="S290" s="2"/>
      <c r="T290" s="2"/>
      <c r="U290" s="2"/>
      <c r="V290" s="2"/>
      <c r="W290" s="2"/>
      <c r="X290" s="2"/>
      <c r="Y290" s="2"/>
    </row>
    <row r="291" spans="2:25" x14ac:dyDescent="0.2">
      <c r="Q291" s="2"/>
      <c r="R291" s="2"/>
      <c r="S291" s="2"/>
      <c r="T291" s="2"/>
      <c r="U291" s="2"/>
      <c r="V291" s="2"/>
      <c r="W291" s="2"/>
      <c r="X291" s="2"/>
      <c r="Y291" s="2"/>
    </row>
    <row r="292" spans="2:25" x14ac:dyDescent="0.2">
      <c r="Q292" s="2"/>
      <c r="R292" s="2"/>
      <c r="S292" s="2"/>
      <c r="T292" s="2"/>
      <c r="U292" s="2"/>
      <c r="V292" s="2"/>
      <c r="W292" s="2"/>
      <c r="X292" s="2"/>
      <c r="Y292" s="2"/>
    </row>
    <row r="293" spans="2:25" x14ac:dyDescent="0.2">
      <c r="Q293" s="2"/>
      <c r="R293" s="2"/>
      <c r="S293" s="2"/>
      <c r="T293" s="2"/>
      <c r="U293" s="2"/>
      <c r="V293" s="2"/>
      <c r="W293" s="2"/>
      <c r="X293" s="2"/>
      <c r="Y293" s="2"/>
    </row>
    <row r="294" spans="2:25" x14ac:dyDescent="0.2">
      <c r="Q294" s="2"/>
      <c r="R294" s="2"/>
      <c r="S294" s="2"/>
      <c r="T294" s="2"/>
      <c r="U294" s="2"/>
      <c r="V294" s="2"/>
      <c r="W294" s="2"/>
      <c r="X294" s="2"/>
      <c r="Y294" s="2"/>
    </row>
    <row r="295" spans="2:25" x14ac:dyDescent="0.2">
      <c r="Q295" s="2"/>
      <c r="R295" s="2"/>
      <c r="S295" s="2"/>
      <c r="T295" s="2"/>
      <c r="U295" s="2"/>
      <c r="V295" s="2"/>
      <c r="W295" s="2"/>
      <c r="X295" s="2"/>
      <c r="Y295" s="2"/>
    </row>
    <row r="296" spans="2:25" x14ac:dyDescent="0.2">
      <c r="Q296" s="2"/>
      <c r="R296" s="2"/>
      <c r="S296" s="2"/>
      <c r="T296" s="2"/>
      <c r="U296" s="2"/>
      <c r="V296" s="2"/>
      <c r="W296" s="2"/>
      <c r="X296" s="2"/>
      <c r="Y296" s="2"/>
    </row>
    <row r="297" spans="2:25" x14ac:dyDescent="0.2">
      <c r="Q297" s="2"/>
      <c r="R297" s="2"/>
      <c r="S297" s="2"/>
      <c r="T297" s="2"/>
      <c r="U297" s="2"/>
      <c r="V297" s="2"/>
      <c r="W297" s="2"/>
      <c r="X297" s="2"/>
      <c r="Y297" s="2"/>
    </row>
    <row r="298" spans="2:25" x14ac:dyDescent="0.2">
      <c r="Q298" s="2"/>
      <c r="R298" s="2"/>
      <c r="S298" s="2"/>
      <c r="T298" s="2"/>
      <c r="U298" s="2"/>
      <c r="V298" s="2"/>
      <c r="W298" s="2"/>
      <c r="X298" s="2"/>
      <c r="Y298" s="2"/>
    </row>
    <row r="299" spans="2:25" x14ac:dyDescent="0.2">
      <c r="B299" s="2"/>
      <c r="C299" s="2"/>
      <c r="D299" s="64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2:25" x14ac:dyDescent="0.2">
      <c r="B300" s="2"/>
      <c r="C300" s="2"/>
      <c r="D300" s="64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2:25" x14ac:dyDescent="0.2">
      <c r="B301" s="2"/>
      <c r="C301" s="2"/>
      <c r="D301" s="64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2:25" x14ac:dyDescent="0.2">
      <c r="B302" s="2"/>
      <c r="C302" s="2"/>
      <c r="D302" s="64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2:25" x14ac:dyDescent="0.2">
      <c r="B303" s="2"/>
      <c r="C303" s="2"/>
      <c r="D303" s="64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2:25" x14ac:dyDescent="0.2">
      <c r="B304" s="2"/>
      <c r="C304" s="2"/>
      <c r="D304" s="64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2:25" x14ac:dyDescent="0.2">
      <c r="B305" s="2"/>
      <c r="C305" s="2"/>
      <c r="D305" s="64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2:25" x14ac:dyDescent="0.2">
      <c r="B306" s="2"/>
      <c r="C306" s="2"/>
      <c r="D306" s="64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2:25" x14ac:dyDescent="0.2">
      <c r="B307" s="2"/>
      <c r="C307" s="2"/>
      <c r="D307" s="64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2:25" x14ac:dyDescent="0.2">
      <c r="B308" s="2"/>
      <c r="C308" s="2"/>
      <c r="D308" s="64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2:25" x14ac:dyDescent="0.2">
      <c r="B309" s="2"/>
      <c r="C309" s="2"/>
      <c r="D309" s="64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2:25" x14ac:dyDescent="0.2">
      <c r="B310" s="2"/>
      <c r="C310" s="2"/>
      <c r="D310" s="64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2:25" x14ac:dyDescent="0.2">
      <c r="B311" s="2"/>
      <c r="C311" s="2"/>
      <c r="D311" s="64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2:25" x14ac:dyDescent="0.2">
      <c r="B312" s="2"/>
      <c r="C312" s="2"/>
      <c r="D312" s="64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2:25" x14ac:dyDescent="0.2">
      <c r="B313" s="2"/>
      <c r="C313" s="2"/>
      <c r="D313" s="64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2:25" x14ac:dyDescent="0.2">
      <c r="B314" s="2"/>
      <c r="C314" s="2"/>
      <c r="D314" s="64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2:25" x14ac:dyDescent="0.2">
      <c r="B315" s="2"/>
      <c r="C315" s="2"/>
      <c r="D315" s="64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2:25" x14ac:dyDescent="0.2">
      <c r="B316" s="2"/>
      <c r="C316" s="2"/>
      <c r="D316" s="64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2:25" x14ac:dyDescent="0.2">
      <c r="B317" s="2"/>
      <c r="C317" s="2"/>
      <c r="D317" s="64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2:25" x14ac:dyDescent="0.2">
      <c r="B318" s="2"/>
      <c r="C318" s="2"/>
      <c r="D318" s="64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2:25" x14ac:dyDescent="0.2">
      <c r="B319" s="2"/>
      <c r="C319" s="2"/>
      <c r="D319" s="64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2:25" x14ac:dyDescent="0.2">
      <c r="B320" s="2"/>
      <c r="C320" s="2"/>
      <c r="D320" s="64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2:25" x14ac:dyDescent="0.2">
      <c r="B321" s="2"/>
      <c r="C321" s="2"/>
      <c r="D321" s="64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2:25" x14ac:dyDescent="0.2">
      <c r="B322" s="2"/>
      <c r="C322" s="2"/>
      <c r="D322" s="64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2:25" x14ac:dyDescent="0.2">
      <c r="B323" s="2"/>
      <c r="C323" s="2"/>
      <c r="D323" s="64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2:25" x14ac:dyDescent="0.2">
      <c r="B324" s="2"/>
      <c r="C324" s="2"/>
      <c r="D324" s="64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2:25" x14ac:dyDescent="0.2">
      <c r="B325" s="2"/>
      <c r="C325" s="2"/>
      <c r="D325" s="64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2:25" x14ac:dyDescent="0.2">
      <c r="B326" s="2"/>
      <c r="C326" s="2"/>
      <c r="D326" s="64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2:25" x14ac:dyDescent="0.2">
      <c r="B327" s="2"/>
      <c r="C327" s="2"/>
      <c r="D327" s="64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2:25" x14ac:dyDescent="0.2">
      <c r="B328" s="2"/>
      <c r="C328" s="2"/>
      <c r="D328" s="64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2:25" x14ac:dyDescent="0.2">
      <c r="B329" s="2"/>
      <c r="C329" s="2"/>
      <c r="D329" s="64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2:25" x14ac:dyDescent="0.2">
      <c r="B330" s="2"/>
      <c r="C330" s="2"/>
      <c r="D330" s="64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2:25" x14ac:dyDescent="0.2">
      <c r="B331" s="2"/>
      <c r="C331" s="2"/>
      <c r="D331" s="64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2:25" x14ac:dyDescent="0.2">
      <c r="B332" s="2"/>
      <c r="C332" s="2"/>
      <c r="D332" s="64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2:25" x14ac:dyDescent="0.2">
      <c r="B333" s="2"/>
      <c r="C333" s="2"/>
      <c r="D333" s="64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2:25" x14ac:dyDescent="0.2">
      <c r="B334" s="2"/>
      <c r="C334" s="2"/>
      <c r="D334" s="64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2:25" x14ac:dyDescent="0.2">
      <c r="B335" s="2"/>
      <c r="C335" s="2"/>
      <c r="D335" s="64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2:25" x14ac:dyDescent="0.2">
      <c r="B336" s="2"/>
      <c r="C336" s="2"/>
      <c r="D336" s="64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2:25" x14ac:dyDescent="0.2">
      <c r="B337" s="2"/>
      <c r="C337" s="2"/>
      <c r="D337" s="64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2:25" x14ac:dyDescent="0.2">
      <c r="B338" s="2"/>
      <c r="C338" s="2"/>
      <c r="D338" s="64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2:25" x14ac:dyDescent="0.2">
      <c r="B339" s="2"/>
      <c r="C339" s="2"/>
      <c r="D339" s="64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2:25" x14ac:dyDescent="0.2">
      <c r="B340" s="2"/>
      <c r="C340" s="2"/>
      <c r="D340" s="64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2:25" x14ac:dyDescent="0.2">
      <c r="B341" s="2"/>
      <c r="C341" s="2"/>
      <c r="D341" s="64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2:25" x14ac:dyDescent="0.2">
      <c r="B342" s="2"/>
      <c r="C342" s="2"/>
      <c r="D342" s="64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2:25" x14ac:dyDescent="0.2">
      <c r="B343" s="2"/>
      <c r="C343" s="2"/>
      <c r="D343" s="64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2:25" x14ac:dyDescent="0.2">
      <c r="B344" s="2"/>
      <c r="C344" s="2"/>
      <c r="D344" s="64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2:25" x14ac:dyDescent="0.2">
      <c r="B345" s="2"/>
      <c r="C345" s="2"/>
      <c r="D345" s="64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2:25" x14ac:dyDescent="0.2">
      <c r="B346" s="2"/>
      <c r="C346" s="2"/>
      <c r="D346" s="64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2:25" x14ac:dyDescent="0.2">
      <c r="B347" s="2"/>
      <c r="C347" s="2"/>
      <c r="D347" s="64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2:25" x14ac:dyDescent="0.2">
      <c r="B348" s="2"/>
      <c r="C348" s="2"/>
      <c r="D348" s="64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</sheetData>
  <mergeCells count="1">
    <mergeCell ref="E8:G8"/>
  </mergeCells>
  <phoneticPr fontId="3" type="noConversion"/>
  <printOptions horizontalCentered="1"/>
  <pageMargins left="0.25" right="0.25" top="0.5" bottom="0.8" header="0" footer="0.42"/>
  <pageSetup scale="60" orientation="portrait" r:id="rId1"/>
  <headerFooter alignWithMargins="0">
    <oddFooter>&amp;L&amp;"Arial,Bold"&amp;18CONSENT AGENDA -BAHR - SECTION II&amp;R&amp;8Last Modified: 9/27/2007 9:57:34 AM</oddFooter>
  </headerFooter>
  <rowBreaks count="4" manualBreakCount="4">
    <brk id="64" min="1" max="15" man="1"/>
    <brk id="119" min="1" max="15" man="1"/>
    <brk id="174" min="1" max="15" man="1"/>
    <brk id="231" min="1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7" sqref="D27"/>
    </sheetView>
  </sheetViews>
  <sheetFormatPr defaultRowHeight="15" x14ac:dyDescent="0.2"/>
  <sheetData/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7" sqref="D27"/>
    </sheetView>
  </sheetViews>
  <sheetFormatPr defaultRowHeight="1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Y62"/>
  <sheetViews>
    <sheetView showOutlineSymbols="0" view="pageBreakPreview" zoomScale="60" zoomScaleNormal="75" workbookViewId="0">
      <selection activeCell="E18" sqref="E18"/>
    </sheetView>
  </sheetViews>
  <sheetFormatPr defaultColWidth="9.6640625" defaultRowHeight="15" x14ac:dyDescent="0.2"/>
  <cols>
    <col min="1" max="1" width="2.77734375" style="1" customWidth="1"/>
    <col min="2" max="2" width="2.33203125" style="1" customWidth="1"/>
    <col min="3" max="3" width="24.21875" style="1" customWidth="1"/>
    <col min="4" max="4" width="0.88671875" style="1" customWidth="1"/>
    <col min="5" max="5" width="12.77734375" style="1" bestFit="1" customWidth="1"/>
    <col min="6" max="7" width="11.77734375" style="1" bestFit="1" customWidth="1"/>
    <col min="8" max="8" width="0.88671875" style="1" customWidth="1"/>
    <col min="9" max="9" width="13" style="1" bestFit="1" customWidth="1"/>
    <col min="10" max="10" width="0.88671875" style="1" customWidth="1"/>
    <col min="11" max="12" width="12.77734375" style="1" bestFit="1" customWidth="1"/>
    <col min="13" max="13" width="3.109375" style="1" customWidth="1"/>
    <col min="14" max="14" width="12.77734375" style="1" bestFit="1" customWidth="1"/>
    <col min="15" max="15" width="0.88671875" style="1" customWidth="1"/>
    <col min="16" max="16" width="7" style="1" customWidth="1"/>
    <col min="17" max="17" width="21.88671875" style="1" customWidth="1"/>
    <col min="18" max="18" width="11.109375" style="1" bestFit="1" customWidth="1"/>
    <col min="19" max="16384" width="9.6640625" style="1"/>
  </cols>
  <sheetData>
    <row r="2" spans="1:17" ht="23.25" customHeight="1" x14ac:dyDescent="0.35">
      <c r="B2" s="79" t="s">
        <v>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ht="23.25" x14ac:dyDescent="0.35">
      <c r="B3" s="79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ht="23.25" x14ac:dyDescent="0.35">
      <c r="B4" s="79" t="str">
        <f>Summary!B4</f>
        <v>Fiscal Year 2010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x14ac:dyDescent="0.2">
      <c r="B5" s="2"/>
      <c r="C5" s="2" t="s">
        <v>8</v>
      </c>
      <c r="D5" s="2"/>
      <c r="E5" s="2"/>
      <c r="F5" s="2"/>
      <c r="G5" s="2"/>
      <c r="H5" s="2"/>
      <c r="I5" s="2"/>
      <c r="J5" s="2"/>
      <c r="K5" s="2"/>
      <c r="L5" s="2"/>
      <c r="M5" s="4"/>
      <c r="N5" s="2"/>
      <c r="O5" s="2"/>
      <c r="P5" s="2"/>
    </row>
    <row r="6" spans="1:17" s="103" customFormat="1" ht="15.75" x14ac:dyDescent="0.25">
      <c r="C6" s="103" t="s">
        <v>8</v>
      </c>
      <c r="D6" s="104"/>
      <c r="E6" s="103" t="s">
        <v>92</v>
      </c>
      <c r="F6" s="103" t="s">
        <v>93</v>
      </c>
      <c r="G6" s="103" t="s">
        <v>94</v>
      </c>
      <c r="I6" s="103" t="s">
        <v>95</v>
      </c>
      <c r="K6" s="103" t="s">
        <v>96</v>
      </c>
      <c r="L6" s="103" t="s">
        <v>97</v>
      </c>
      <c r="N6" s="103" t="s">
        <v>98</v>
      </c>
      <c r="P6" s="103" t="s">
        <v>99</v>
      </c>
    </row>
    <row r="7" spans="1:17" ht="20.100000000000001" customHeight="1" x14ac:dyDescent="0.2">
      <c r="B7" s="2"/>
      <c r="C7" s="2"/>
      <c r="D7" s="2"/>
      <c r="E7" s="5" t="s">
        <v>39</v>
      </c>
      <c r="F7" s="5"/>
      <c r="G7" s="5"/>
      <c r="H7" s="58"/>
      <c r="I7" s="58"/>
      <c r="J7" s="5"/>
      <c r="K7" s="5"/>
      <c r="L7" s="5"/>
      <c r="M7" s="5"/>
      <c r="N7" s="5"/>
      <c r="O7" s="97"/>
      <c r="P7" s="97"/>
    </row>
    <row r="8" spans="1:17" ht="20.100000000000001" customHeight="1" x14ac:dyDescent="0.25">
      <c r="B8" s="2"/>
      <c r="C8" s="2"/>
      <c r="D8" s="2"/>
      <c r="E8" s="126" t="s">
        <v>40</v>
      </c>
      <c r="F8" s="126"/>
      <c r="G8" s="126"/>
      <c r="H8" s="57"/>
      <c r="I8" s="59" t="s">
        <v>64</v>
      </c>
      <c r="J8" s="7"/>
      <c r="K8" s="6" t="s">
        <v>47</v>
      </c>
      <c r="L8" s="6"/>
      <c r="M8" s="7"/>
      <c r="N8" s="8" t="s">
        <v>52</v>
      </c>
      <c r="O8" s="2"/>
      <c r="P8" s="9" t="s">
        <v>65</v>
      </c>
      <c r="Q8" s="94"/>
    </row>
    <row r="9" spans="1:17" ht="28.5" customHeight="1" x14ac:dyDescent="0.2">
      <c r="B9" s="2"/>
      <c r="C9" s="2"/>
      <c r="D9" s="2"/>
      <c r="E9" s="8" t="s">
        <v>41</v>
      </c>
      <c r="F9" s="115" t="s">
        <v>107</v>
      </c>
      <c r="G9" s="8" t="s">
        <v>43</v>
      </c>
      <c r="H9" s="56"/>
      <c r="I9" s="56" t="s">
        <v>45</v>
      </c>
      <c r="J9" s="4"/>
      <c r="K9" s="8" t="s">
        <v>48</v>
      </c>
      <c r="L9" s="8" t="s">
        <v>50</v>
      </c>
      <c r="M9" s="4"/>
      <c r="N9" s="9" t="s">
        <v>53</v>
      </c>
      <c r="O9" s="2"/>
      <c r="P9" s="9" t="s">
        <v>100</v>
      </c>
    </row>
    <row r="10" spans="1:17" ht="20.100000000000001" customHeight="1" x14ac:dyDescent="0.2">
      <c r="B10" s="2"/>
      <c r="C10" s="2"/>
      <c r="D10" s="2"/>
      <c r="E10" s="9" t="s">
        <v>42</v>
      </c>
      <c r="F10" s="9" t="s">
        <v>42</v>
      </c>
      <c r="G10" s="9" t="s">
        <v>44</v>
      </c>
      <c r="H10" s="9"/>
      <c r="I10" s="9" t="s">
        <v>46</v>
      </c>
      <c r="J10" s="4"/>
      <c r="K10" s="9" t="s">
        <v>49</v>
      </c>
      <c r="L10" s="9" t="s">
        <v>51</v>
      </c>
      <c r="M10" s="4"/>
      <c r="N10" s="9" t="s">
        <v>54</v>
      </c>
      <c r="O10" s="2"/>
      <c r="P10" s="9" t="s">
        <v>52</v>
      </c>
    </row>
    <row r="11" spans="1:17" ht="15.75" x14ac:dyDescent="0.25">
      <c r="B11" s="98" t="s">
        <v>90</v>
      </c>
      <c r="C11" s="2"/>
      <c r="D11" s="2"/>
      <c r="E11" s="11"/>
      <c r="F11" s="11"/>
      <c r="G11" s="11"/>
      <c r="H11" s="11"/>
      <c r="I11" s="11"/>
      <c r="J11" s="4"/>
      <c r="K11" s="11"/>
      <c r="L11" s="11"/>
      <c r="M11" s="12"/>
      <c r="N11" s="11"/>
      <c r="O11" s="13"/>
      <c r="P11" s="61"/>
    </row>
    <row r="12" spans="1:17" ht="20.100000000000001" customHeight="1" x14ac:dyDescent="0.2">
      <c r="B12" s="2"/>
      <c r="C12" s="2" t="s">
        <v>9</v>
      </c>
      <c r="D12" s="2"/>
      <c r="E12" s="13"/>
      <c r="F12" s="13"/>
      <c r="G12" s="13"/>
      <c r="H12" s="13"/>
      <c r="I12" s="13"/>
      <c r="J12" s="4"/>
      <c r="K12" s="13"/>
      <c r="L12" s="13"/>
      <c r="M12" s="12"/>
      <c r="N12" s="13"/>
      <c r="O12" s="13"/>
      <c r="P12" s="13"/>
    </row>
    <row r="13" spans="1:17" ht="20.100000000000001" customHeight="1" x14ac:dyDescent="0.2">
      <c r="A13" s="1">
        <v>1</v>
      </c>
      <c r="B13" s="2"/>
      <c r="C13" s="2" t="s">
        <v>10</v>
      </c>
      <c r="D13" s="2"/>
      <c r="E13" s="70">
        <v>87587000</v>
      </c>
      <c r="F13" s="70">
        <v>7580247</v>
      </c>
      <c r="G13" s="70">
        <v>533600</v>
      </c>
      <c r="H13" s="20"/>
      <c r="I13" s="20"/>
      <c r="J13" s="21"/>
      <c r="K13" s="20"/>
      <c r="L13" s="20"/>
      <c r="M13" s="21"/>
      <c r="N13" s="20">
        <f t="shared" ref="N13:N18" si="0">SUM(E13:L13)</f>
        <v>95700847</v>
      </c>
      <c r="O13" s="20"/>
      <c r="P13" s="62">
        <f t="shared" ref="P13:P18" si="1">+N13/$N$32</f>
        <v>0.26990232163494426</v>
      </c>
    </row>
    <row r="14" spans="1:17" ht="20.100000000000001" customHeight="1" x14ac:dyDescent="0.2">
      <c r="A14" s="1">
        <f>+A13+1</f>
        <v>2</v>
      </c>
      <c r="B14" s="2"/>
      <c r="C14" s="2" t="s">
        <v>108</v>
      </c>
      <c r="D14" s="2"/>
      <c r="E14" s="71">
        <v>1561183</v>
      </c>
      <c r="F14" s="71"/>
      <c r="G14" s="71">
        <v>2800</v>
      </c>
      <c r="H14" s="23"/>
      <c r="I14" s="23"/>
      <c r="J14" s="24"/>
      <c r="K14" s="23"/>
      <c r="L14" s="23"/>
      <c r="M14" s="24"/>
      <c r="N14" s="23">
        <f t="shared" si="0"/>
        <v>1563983</v>
      </c>
      <c r="O14" s="23"/>
      <c r="P14" s="62">
        <f t="shared" si="1"/>
        <v>4.4108558694113233E-3</v>
      </c>
    </row>
    <row r="15" spans="1:17" ht="20.100000000000001" customHeight="1" x14ac:dyDescent="0.2">
      <c r="A15" s="1">
        <f>+A14+1</f>
        <v>3</v>
      </c>
      <c r="B15" s="2"/>
      <c r="C15" s="2" t="s">
        <v>11</v>
      </c>
      <c r="D15" s="2"/>
      <c r="E15" s="71"/>
      <c r="F15" s="71"/>
      <c r="G15" s="71"/>
      <c r="H15" s="23"/>
      <c r="I15" s="23"/>
      <c r="J15" s="24"/>
      <c r="K15" s="23"/>
      <c r="L15" s="23"/>
      <c r="M15" s="24"/>
      <c r="N15" s="23">
        <f t="shared" si="0"/>
        <v>0</v>
      </c>
      <c r="O15" s="23"/>
      <c r="P15" s="62">
        <f t="shared" si="1"/>
        <v>0</v>
      </c>
    </row>
    <row r="16" spans="1:17" ht="20.100000000000001" customHeight="1" x14ac:dyDescent="0.2">
      <c r="A16" s="1">
        <f t="shared" ref="A16:A61" si="2">+A15+1</f>
        <v>4</v>
      </c>
      <c r="B16" s="2"/>
      <c r="C16" s="2" t="s">
        <v>12</v>
      </c>
      <c r="D16" s="2"/>
      <c r="E16" s="71">
        <f>50661117-339100</f>
        <v>50322017</v>
      </c>
      <c r="F16" s="71"/>
      <c r="G16" s="71"/>
      <c r="H16" s="23"/>
      <c r="I16" s="23"/>
      <c r="J16" s="24"/>
      <c r="K16" s="23"/>
      <c r="L16" s="23"/>
      <c r="M16" s="24"/>
      <c r="N16" s="23">
        <f t="shared" si="0"/>
        <v>50322017</v>
      </c>
      <c r="O16" s="23"/>
      <c r="P16" s="62">
        <f t="shared" si="1"/>
        <v>0.14192172424192998</v>
      </c>
    </row>
    <row r="17" spans="1:16" ht="20.100000000000001" customHeight="1" x14ac:dyDescent="0.2">
      <c r="A17" s="1">
        <f t="shared" ref="A17:A32" si="3">+A16+1</f>
        <v>5</v>
      </c>
      <c r="B17" s="2"/>
      <c r="C17" s="29" t="s">
        <v>109</v>
      </c>
      <c r="D17" s="2"/>
      <c r="E17" s="71">
        <v>339100</v>
      </c>
      <c r="F17" s="71"/>
      <c r="G17" s="71"/>
      <c r="H17" s="23"/>
      <c r="I17" s="23"/>
      <c r="J17" s="24"/>
      <c r="K17" s="23"/>
      <c r="L17" s="23"/>
      <c r="M17" s="24"/>
      <c r="N17" s="23">
        <f t="shared" si="0"/>
        <v>339100</v>
      </c>
      <c r="O17" s="23"/>
      <c r="P17" s="62">
        <f t="shared" si="1"/>
        <v>9.5635388959942641E-4</v>
      </c>
    </row>
    <row r="18" spans="1:16" ht="20.100000000000001" customHeight="1" x14ac:dyDescent="0.2">
      <c r="A18" s="1">
        <f t="shared" si="3"/>
        <v>6</v>
      </c>
      <c r="B18" s="2"/>
      <c r="C18" s="69" t="s">
        <v>115</v>
      </c>
      <c r="D18" s="2"/>
      <c r="E18" s="71"/>
      <c r="F18" s="71"/>
      <c r="G18" s="71"/>
      <c r="H18" s="23"/>
      <c r="I18" s="23"/>
      <c r="J18" s="24"/>
      <c r="K18" s="23"/>
      <c r="L18" s="23"/>
      <c r="M18" s="24"/>
      <c r="N18" s="23">
        <f t="shared" si="0"/>
        <v>0</v>
      </c>
      <c r="O18" s="23"/>
      <c r="P18" s="62">
        <f t="shared" si="1"/>
        <v>0</v>
      </c>
    </row>
    <row r="19" spans="1:16" x14ac:dyDescent="0.2">
      <c r="A19" s="1">
        <f t="shared" si="3"/>
        <v>7</v>
      </c>
      <c r="B19" s="2"/>
      <c r="C19" s="2"/>
      <c r="D19" s="2"/>
      <c r="E19" s="23"/>
      <c r="F19" s="23"/>
      <c r="G19" s="23"/>
      <c r="H19" s="23"/>
      <c r="I19" s="23"/>
      <c r="J19" s="24"/>
      <c r="K19" s="23"/>
      <c r="L19" s="23"/>
      <c r="M19" s="24"/>
      <c r="N19" s="23"/>
      <c r="O19" s="23"/>
      <c r="P19" s="23"/>
    </row>
    <row r="20" spans="1:16" ht="20.100000000000001" customHeight="1" x14ac:dyDescent="0.2">
      <c r="A20" s="1">
        <f t="shared" si="3"/>
        <v>8</v>
      </c>
      <c r="B20" s="2"/>
      <c r="C20" s="2" t="s">
        <v>36</v>
      </c>
      <c r="D20" s="2"/>
      <c r="E20" s="22">
        <f>SUM(E11:E19)</f>
        <v>139809300</v>
      </c>
      <c r="F20" s="22">
        <f>SUM(F11:F19)</f>
        <v>7580247</v>
      </c>
      <c r="G20" s="22">
        <f>SUM(G11:G19)</f>
        <v>536400</v>
      </c>
      <c r="H20" s="22"/>
      <c r="I20" s="22">
        <f>SUM(I11:I19)</f>
        <v>0</v>
      </c>
      <c r="J20" s="21"/>
      <c r="K20" s="22">
        <f>SUM(K11:K19)</f>
        <v>0</v>
      </c>
      <c r="L20" s="22">
        <f>SUM(L11:L19)</f>
        <v>0</v>
      </c>
      <c r="M20" s="21"/>
      <c r="N20" s="22">
        <f>SUM(N11:N19)</f>
        <v>147925947</v>
      </c>
      <c r="O20" s="20"/>
      <c r="P20" s="63">
        <f>+N20/$N$32</f>
        <v>0.41719125563588499</v>
      </c>
    </row>
    <row r="21" spans="1:16" x14ac:dyDescent="0.2">
      <c r="A21" s="1">
        <f t="shared" si="3"/>
        <v>9</v>
      </c>
      <c r="B21" s="2"/>
      <c r="C21" s="2"/>
      <c r="D21" s="2"/>
      <c r="E21" s="17"/>
      <c r="F21" s="17"/>
      <c r="G21" s="17"/>
      <c r="H21" s="17"/>
      <c r="I21" s="72"/>
      <c r="J21" s="15"/>
      <c r="K21" s="17"/>
      <c r="L21" s="17"/>
      <c r="M21" s="15"/>
      <c r="N21" s="17"/>
    </row>
    <row r="22" spans="1:16" ht="20.100000000000001" customHeight="1" x14ac:dyDescent="0.2">
      <c r="A22" s="1">
        <f t="shared" si="3"/>
        <v>10</v>
      </c>
      <c r="B22" s="2"/>
      <c r="C22" s="2" t="s">
        <v>14</v>
      </c>
      <c r="D22" s="2"/>
      <c r="E22" s="20"/>
      <c r="F22" s="20"/>
      <c r="G22" s="20"/>
      <c r="H22" s="20"/>
      <c r="I22" s="70">
        <v>9743413</v>
      </c>
      <c r="J22" s="21"/>
      <c r="K22" s="70">
        <v>20636684</v>
      </c>
      <c r="L22" s="70"/>
      <c r="M22" s="21"/>
      <c r="N22" s="20">
        <f t="shared" ref="N22:N30" si="4">SUM(E22:L22)</f>
        <v>30380097</v>
      </c>
      <c r="O22" s="20"/>
      <c r="P22" s="62">
        <f t="shared" ref="P22:P30" si="5">+N22/$N$32</f>
        <v>8.5680105963898162E-2</v>
      </c>
    </row>
    <row r="23" spans="1:16" ht="20.100000000000001" customHeight="1" x14ac:dyDescent="0.2">
      <c r="A23" s="1">
        <f t="shared" si="3"/>
        <v>11</v>
      </c>
      <c r="B23" s="2"/>
      <c r="C23" s="2" t="s">
        <v>15</v>
      </c>
      <c r="D23" s="2"/>
      <c r="E23" s="23"/>
      <c r="F23" s="23"/>
      <c r="G23" s="23"/>
      <c r="H23" s="23"/>
      <c r="I23" s="71"/>
      <c r="J23" s="24"/>
      <c r="K23" s="71"/>
      <c r="L23" s="71"/>
      <c r="M23" s="24"/>
      <c r="N23" s="23">
        <f t="shared" si="4"/>
        <v>0</v>
      </c>
      <c r="O23" s="23"/>
      <c r="P23" s="62">
        <f t="shared" si="5"/>
        <v>0</v>
      </c>
    </row>
    <row r="24" spans="1:16" ht="20.100000000000001" customHeight="1" x14ac:dyDescent="0.2">
      <c r="A24" s="1">
        <f t="shared" si="3"/>
        <v>12</v>
      </c>
      <c r="B24" s="2"/>
      <c r="C24" s="2" t="s">
        <v>16</v>
      </c>
      <c r="D24" s="2"/>
      <c r="E24" s="23"/>
      <c r="F24" s="23"/>
      <c r="G24" s="23"/>
      <c r="H24" s="23"/>
      <c r="I24" s="71"/>
      <c r="J24" s="24"/>
      <c r="K24" s="71"/>
      <c r="L24" s="71">
        <v>84068486</v>
      </c>
      <c r="M24" s="24">
        <v>-2</v>
      </c>
      <c r="N24" s="23">
        <f t="shared" si="4"/>
        <v>84068486</v>
      </c>
      <c r="O24" s="23"/>
      <c r="P24" s="62">
        <f t="shared" si="5"/>
        <v>0.23709591146810652</v>
      </c>
    </row>
    <row r="25" spans="1:16" ht="20.100000000000001" customHeight="1" x14ac:dyDescent="0.2">
      <c r="A25" s="1">
        <f t="shared" si="3"/>
        <v>13</v>
      </c>
      <c r="B25" s="2"/>
      <c r="C25" s="2" t="s">
        <v>17</v>
      </c>
      <c r="D25" s="2"/>
      <c r="E25" s="23"/>
      <c r="F25" s="23"/>
      <c r="G25" s="23"/>
      <c r="H25" s="23"/>
      <c r="I25" s="71"/>
      <c r="J25" s="24"/>
      <c r="K25" s="71"/>
      <c r="L25" s="71">
        <v>3246324</v>
      </c>
      <c r="M25" s="24"/>
      <c r="N25" s="23">
        <f t="shared" si="4"/>
        <v>3246324</v>
      </c>
      <c r="O25" s="23"/>
      <c r="P25" s="62">
        <f t="shared" si="5"/>
        <v>9.1555133715717149E-3</v>
      </c>
    </row>
    <row r="26" spans="1:16" ht="20.100000000000001" customHeight="1" x14ac:dyDescent="0.2">
      <c r="A26" s="1">
        <f t="shared" si="3"/>
        <v>14</v>
      </c>
      <c r="B26" s="2"/>
      <c r="C26" s="2" t="s">
        <v>18</v>
      </c>
      <c r="D26" s="2"/>
      <c r="E26" s="23"/>
      <c r="F26" s="23"/>
      <c r="G26" s="23"/>
      <c r="H26" s="23"/>
      <c r="I26" s="75">
        <v>939203</v>
      </c>
      <c r="J26" s="24"/>
      <c r="K26" s="71">
        <v>10561916</v>
      </c>
      <c r="L26" s="71">
        <v>1808214</v>
      </c>
      <c r="M26" s="24"/>
      <c r="N26" s="23">
        <f t="shared" si="4"/>
        <v>13309333</v>
      </c>
      <c r="O26" s="23"/>
      <c r="P26" s="62">
        <f t="shared" si="5"/>
        <v>3.7535925634102039E-2</v>
      </c>
    </row>
    <row r="27" spans="1:16" ht="20.100000000000001" customHeight="1" x14ac:dyDescent="0.2">
      <c r="A27" s="1">
        <f t="shared" si="3"/>
        <v>15</v>
      </c>
      <c r="B27" s="2"/>
      <c r="C27" s="2" t="s">
        <v>19</v>
      </c>
      <c r="D27" s="2"/>
      <c r="E27" s="23"/>
      <c r="F27" s="23"/>
      <c r="G27" s="23"/>
      <c r="H27" s="23"/>
      <c r="I27" s="71"/>
      <c r="J27" s="24"/>
      <c r="K27" s="71"/>
      <c r="L27" s="71"/>
      <c r="M27" s="24"/>
      <c r="N27" s="23">
        <f t="shared" si="4"/>
        <v>0</v>
      </c>
      <c r="O27" s="23"/>
      <c r="P27" s="62">
        <f t="shared" si="5"/>
        <v>0</v>
      </c>
    </row>
    <row r="28" spans="1:16" ht="20.100000000000001" customHeight="1" x14ac:dyDescent="0.2">
      <c r="A28" s="1">
        <f t="shared" si="3"/>
        <v>16</v>
      </c>
      <c r="B28" s="2"/>
      <c r="C28" s="2" t="s">
        <v>20</v>
      </c>
      <c r="D28" s="2"/>
      <c r="E28" s="23"/>
      <c r="F28" s="23"/>
      <c r="G28" s="23"/>
      <c r="H28" s="23"/>
      <c r="I28" s="71">
        <v>54242696</v>
      </c>
      <c r="J28" s="24"/>
      <c r="K28" s="71">
        <v>2723825</v>
      </c>
      <c r="L28" s="71"/>
      <c r="M28" s="24"/>
      <c r="N28" s="23">
        <f t="shared" si="4"/>
        <v>56966521</v>
      </c>
      <c r="O28" s="23"/>
      <c r="P28" s="62">
        <f t="shared" si="5"/>
        <v>0.16066102605513832</v>
      </c>
    </row>
    <row r="29" spans="1:16" ht="20.100000000000001" customHeight="1" x14ac:dyDescent="0.2">
      <c r="A29" s="1">
        <f t="shared" si="3"/>
        <v>17</v>
      </c>
      <c r="B29" s="2"/>
      <c r="C29" s="2" t="s">
        <v>21</v>
      </c>
      <c r="D29" s="2"/>
      <c r="E29" s="23"/>
      <c r="F29" s="23"/>
      <c r="G29" s="23"/>
      <c r="H29" s="23"/>
      <c r="I29" s="71"/>
      <c r="J29" s="24"/>
      <c r="K29" s="71">
        <v>3022557</v>
      </c>
      <c r="L29" s="71"/>
      <c r="M29" s="24"/>
      <c r="N29" s="23">
        <f t="shared" si="4"/>
        <v>3022557</v>
      </c>
      <c r="O29" s="23"/>
      <c r="P29" s="62">
        <f t="shared" si="5"/>
        <v>8.5244297950043454E-3</v>
      </c>
    </row>
    <row r="30" spans="1:16" ht="20.100000000000001" customHeight="1" x14ac:dyDescent="0.2">
      <c r="A30" s="1">
        <f t="shared" si="3"/>
        <v>18</v>
      </c>
      <c r="B30" s="2"/>
      <c r="C30" s="2" t="s">
        <v>22</v>
      </c>
      <c r="D30" s="2"/>
      <c r="E30" s="23"/>
      <c r="F30" s="23"/>
      <c r="G30" s="23"/>
      <c r="H30" s="23"/>
      <c r="I30" s="71">
        <v>1878792</v>
      </c>
      <c r="J30" s="24"/>
      <c r="K30" s="71">
        <v>13777800</v>
      </c>
      <c r="L30" s="71"/>
      <c r="M30" s="24"/>
      <c r="N30" s="23">
        <f t="shared" si="4"/>
        <v>15656592</v>
      </c>
      <c r="O30" s="23"/>
      <c r="P30" s="62">
        <f t="shared" si="5"/>
        <v>4.4155832076293901E-2</v>
      </c>
    </row>
    <row r="31" spans="1:16" x14ac:dyDescent="0.2">
      <c r="A31" s="1">
        <f t="shared" si="3"/>
        <v>19</v>
      </c>
      <c r="B31" s="2"/>
      <c r="C31" s="2"/>
      <c r="D31" s="2"/>
      <c r="E31" s="23"/>
      <c r="F31" s="23"/>
      <c r="G31" s="23"/>
      <c r="H31" s="23"/>
      <c r="I31" s="23"/>
      <c r="J31" s="24"/>
      <c r="K31" s="23"/>
      <c r="L31" s="23"/>
      <c r="M31" s="24"/>
      <c r="N31" s="23"/>
      <c r="O31" s="23"/>
      <c r="P31" s="23"/>
    </row>
    <row r="32" spans="1:16" ht="20.100000000000001" customHeight="1" x14ac:dyDescent="0.2">
      <c r="A32" s="1">
        <f t="shared" si="3"/>
        <v>20</v>
      </c>
      <c r="B32" s="2"/>
      <c r="C32" s="2" t="s">
        <v>23</v>
      </c>
      <c r="D32" s="2"/>
      <c r="E32" s="22">
        <f>SUM(E20:E31)</f>
        <v>139809300</v>
      </c>
      <c r="F32" s="22">
        <f>SUM(F20:F31)</f>
        <v>7580247</v>
      </c>
      <c r="G32" s="22">
        <f>SUM(G20:G31)</f>
        <v>536400</v>
      </c>
      <c r="H32" s="22"/>
      <c r="I32" s="22">
        <f>SUM(I20:I31)</f>
        <v>66804104</v>
      </c>
      <c r="J32" s="21"/>
      <c r="K32" s="22">
        <f>SUM(K20:K31)</f>
        <v>50722782</v>
      </c>
      <c r="L32" s="22">
        <f>SUM(L20:L31)</f>
        <v>89123024</v>
      </c>
      <c r="M32" s="21"/>
      <c r="N32" s="22">
        <f>SUM(N20:N31)</f>
        <v>354575857</v>
      </c>
      <c r="O32" s="20"/>
      <c r="P32" s="63">
        <f>SUM(P13:P31)-P20</f>
        <v>1</v>
      </c>
    </row>
    <row r="33" spans="1:16" ht="15.75" thickBot="1" x14ac:dyDescent="0.25">
      <c r="B33" s="2"/>
      <c r="C33" s="2"/>
      <c r="D33" s="2"/>
      <c r="E33" s="25"/>
      <c r="F33" s="25"/>
      <c r="G33" s="25"/>
      <c r="H33" s="25"/>
      <c r="I33" s="25"/>
      <c r="J33" s="24"/>
      <c r="K33" s="25"/>
      <c r="L33" s="60"/>
      <c r="M33" s="24"/>
      <c r="N33" s="25"/>
      <c r="O33" s="23"/>
      <c r="P33" s="23"/>
    </row>
    <row r="34" spans="1:16" ht="16.5" thickTop="1" thickBot="1" x14ac:dyDescent="0.25">
      <c r="A34" s="99"/>
      <c r="B34" s="100"/>
      <c r="C34" s="100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</row>
    <row r="35" spans="1:16" ht="15.75" thickTop="1" x14ac:dyDescent="0.2">
      <c r="B35" s="2"/>
      <c r="C35" s="2"/>
      <c r="D35" s="2"/>
      <c r="E35" s="23"/>
      <c r="F35" s="23"/>
      <c r="G35" s="23"/>
      <c r="H35" s="23"/>
      <c r="I35" s="23"/>
      <c r="J35" s="24"/>
      <c r="K35" s="23"/>
      <c r="L35" s="23"/>
      <c r="M35" s="24"/>
      <c r="N35" s="26"/>
      <c r="O35" s="23"/>
      <c r="P35" s="23"/>
    </row>
    <row r="36" spans="1:16" ht="20.100000000000001" customHeight="1" x14ac:dyDescent="0.25">
      <c r="A36" s="1">
        <f>+A32+1</f>
        <v>21</v>
      </c>
      <c r="B36" s="98" t="s">
        <v>91</v>
      </c>
      <c r="C36" s="2"/>
      <c r="D36" s="2"/>
      <c r="E36" s="23"/>
      <c r="F36" s="23"/>
      <c r="G36" s="23"/>
      <c r="H36" s="23"/>
      <c r="I36" s="23"/>
      <c r="J36" s="24"/>
      <c r="K36" s="23"/>
      <c r="L36" s="23"/>
      <c r="M36" s="24"/>
      <c r="N36" s="23"/>
      <c r="O36" s="23"/>
      <c r="P36" s="23"/>
    </row>
    <row r="37" spans="1:16" ht="20.100000000000001" customHeight="1" x14ac:dyDescent="0.2">
      <c r="A37" s="1">
        <f t="shared" si="2"/>
        <v>22</v>
      </c>
      <c r="B37" s="2"/>
      <c r="C37" s="2" t="s">
        <v>24</v>
      </c>
      <c r="D37" s="2"/>
      <c r="E37" s="70">
        <v>69001703</v>
      </c>
      <c r="F37" s="70">
        <v>7580247</v>
      </c>
      <c r="G37" s="70"/>
      <c r="H37" s="70"/>
      <c r="I37" s="70"/>
      <c r="J37" s="21"/>
      <c r="K37" s="70">
        <v>13047943</v>
      </c>
      <c r="L37" s="70">
        <v>5373525</v>
      </c>
      <c r="M37" s="21"/>
      <c r="N37" s="20">
        <f t="shared" ref="N37:N48" si="6">SUM(E37:L37)</f>
        <v>95003418</v>
      </c>
      <c r="O37" s="20"/>
      <c r="P37" s="62">
        <f t="shared" ref="P37:P48" si="7">+N37/$N$51</f>
        <v>0.27281047092307975</v>
      </c>
    </row>
    <row r="38" spans="1:16" ht="20.100000000000001" customHeight="1" x14ac:dyDescent="0.2">
      <c r="A38" s="1">
        <f t="shared" si="2"/>
        <v>23</v>
      </c>
      <c r="B38" s="2"/>
      <c r="C38" s="2" t="s">
        <v>25</v>
      </c>
      <c r="D38" s="2"/>
      <c r="E38" s="71">
        <v>2437980</v>
      </c>
      <c r="F38" s="71"/>
      <c r="G38" s="71"/>
      <c r="H38" s="71"/>
      <c r="I38" s="71"/>
      <c r="J38" s="24"/>
      <c r="K38" s="71">
        <v>2298549</v>
      </c>
      <c r="L38" s="71">
        <v>13154845</v>
      </c>
      <c r="M38" s="24"/>
      <c r="N38" s="23">
        <f t="shared" si="6"/>
        <v>17891374</v>
      </c>
      <c r="O38" s="23"/>
      <c r="P38" s="62">
        <f t="shared" si="7"/>
        <v>5.1376616432905031E-2</v>
      </c>
    </row>
    <row r="39" spans="1:16" ht="20.100000000000001" customHeight="1" x14ac:dyDescent="0.2">
      <c r="A39" s="1">
        <f t="shared" si="2"/>
        <v>24</v>
      </c>
      <c r="B39" s="2"/>
      <c r="C39" s="2" t="s">
        <v>26</v>
      </c>
      <c r="D39" s="2"/>
      <c r="E39" s="71">
        <v>826501</v>
      </c>
      <c r="F39" s="71"/>
      <c r="G39" s="71">
        <v>536400</v>
      </c>
      <c r="H39" s="71"/>
      <c r="I39" s="71"/>
      <c r="J39" s="24"/>
      <c r="K39" s="71">
        <v>3515387</v>
      </c>
      <c r="L39" s="71">
        <v>8252367</v>
      </c>
      <c r="M39" s="24"/>
      <c r="N39" s="23">
        <f t="shared" si="6"/>
        <v>13130655</v>
      </c>
      <c r="O39" s="23"/>
      <c r="P39" s="62">
        <f t="shared" si="7"/>
        <v>3.7705803112036369E-2</v>
      </c>
    </row>
    <row r="40" spans="1:16" ht="20.100000000000001" customHeight="1" x14ac:dyDescent="0.2">
      <c r="A40" s="1">
        <f t="shared" si="2"/>
        <v>25</v>
      </c>
      <c r="B40" s="2"/>
      <c r="C40" s="2" t="s">
        <v>27</v>
      </c>
      <c r="D40" s="2"/>
      <c r="E40" s="71">
        <v>14592921</v>
      </c>
      <c r="F40" s="71"/>
      <c r="G40" s="71"/>
      <c r="H40" s="71"/>
      <c r="I40" s="71"/>
      <c r="J40" s="24"/>
      <c r="K40" s="71">
        <v>3906164</v>
      </c>
      <c r="L40" s="71">
        <v>355306</v>
      </c>
      <c r="M40" s="24"/>
      <c r="N40" s="23">
        <f t="shared" si="6"/>
        <v>18854391</v>
      </c>
      <c r="O40" s="23"/>
      <c r="P40" s="62">
        <f t="shared" si="7"/>
        <v>5.4142002424353582E-2</v>
      </c>
    </row>
    <row r="41" spans="1:16" ht="20.100000000000001" customHeight="1" x14ac:dyDescent="0.2">
      <c r="A41" s="1">
        <f t="shared" si="2"/>
        <v>26</v>
      </c>
      <c r="B41" s="2"/>
      <c r="C41" s="2" t="s">
        <v>28</v>
      </c>
      <c r="D41" s="2"/>
      <c r="E41" s="71">
        <v>7122122</v>
      </c>
      <c r="F41" s="71"/>
      <c r="G41" s="71"/>
      <c r="H41" s="71"/>
      <c r="I41" s="71"/>
      <c r="J41" s="24"/>
      <c r="K41" s="71">
        <v>285381</v>
      </c>
      <c r="L41" s="71"/>
      <c r="M41" s="24"/>
      <c r="N41" s="23">
        <f t="shared" si="6"/>
        <v>7407503</v>
      </c>
      <c r="O41" s="23"/>
      <c r="P41" s="62">
        <f t="shared" si="7"/>
        <v>2.1271280805856125E-2</v>
      </c>
    </row>
    <row r="42" spans="1:16" ht="20.100000000000001" customHeight="1" x14ac:dyDescent="0.2">
      <c r="A42" s="1">
        <f t="shared" si="2"/>
        <v>27</v>
      </c>
      <c r="B42" s="2"/>
      <c r="C42" s="2" t="s">
        <v>29</v>
      </c>
      <c r="D42" s="2"/>
      <c r="E42" s="71">
        <v>8331912</v>
      </c>
      <c r="F42" s="71"/>
      <c r="G42" s="71"/>
      <c r="H42" s="71"/>
      <c r="I42" s="71"/>
      <c r="J42" s="24"/>
      <c r="K42" s="71">
        <v>1824459</v>
      </c>
      <c r="L42" s="71">
        <v>113584</v>
      </c>
      <c r="M42" s="24"/>
      <c r="N42" s="23">
        <f t="shared" si="6"/>
        <v>10269955</v>
      </c>
      <c r="O42" s="23"/>
      <c r="P42" s="62">
        <f t="shared" si="7"/>
        <v>2.9491057468151703E-2</v>
      </c>
    </row>
    <row r="43" spans="1:16" ht="20.100000000000001" customHeight="1" x14ac:dyDescent="0.2">
      <c r="A43" s="1">
        <f t="shared" si="2"/>
        <v>28</v>
      </c>
      <c r="B43" s="2"/>
      <c r="C43" s="2" t="s">
        <v>30</v>
      </c>
      <c r="D43" s="2"/>
      <c r="E43" s="71">
        <v>18558940</v>
      </c>
      <c r="F43" s="71"/>
      <c r="G43" s="71"/>
      <c r="H43" s="71"/>
      <c r="I43" s="71"/>
      <c r="J43" s="24"/>
      <c r="K43" s="71">
        <v>11144273</v>
      </c>
      <c r="L43" s="71">
        <v>792854</v>
      </c>
      <c r="M43" s="24"/>
      <c r="N43" s="23">
        <f t="shared" si="6"/>
        <v>30496067</v>
      </c>
      <c r="O43" s="23"/>
      <c r="P43" s="62">
        <f t="shared" si="7"/>
        <v>8.7572074507590802E-2</v>
      </c>
    </row>
    <row r="44" spans="1:16" ht="20.100000000000001" customHeight="1" x14ac:dyDescent="0.2">
      <c r="A44" s="1">
        <f t="shared" si="2"/>
        <v>29</v>
      </c>
      <c r="B44" s="2"/>
      <c r="C44" s="2" t="s">
        <v>31</v>
      </c>
      <c r="D44" s="2"/>
      <c r="E44" s="71">
        <v>14594321</v>
      </c>
      <c r="F44" s="71"/>
      <c r="G44" s="71"/>
      <c r="H44" s="71"/>
      <c r="I44" s="71"/>
      <c r="J44" s="24"/>
      <c r="K44" s="71">
        <v>2442888</v>
      </c>
      <c r="L44" s="71"/>
      <c r="M44" s="24"/>
      <c r="N44" s="23">
        <f t="shared" si="6"/>
        <v>17037209</v>
      </c>
      <c r="O44" s="23"/>
      <c r="P44" s="62">
        <f t="shared" si="7"/>
        <v>4.8923808304506822E-2</v>
      </c>
    </row>
    <row r="45" spans="1:16" ht="20.100000000000001" customHeight="1" x14ac:dyDescent="0.2">
      <c r="A45" s="1">
        <f t="shared" si="2"/>
        <v>30</v>
      </c>
      <c r="B45" s="2"/>
      <c r="C45" s="2" t="s">
        <v>32</v>
      </c>
      <c r="D45" s="2"/>
      <c r="E45" s="71"/>
      <c r="F45" s="71"/>
      <c r="G45" s="71"/>
      <c r="H45" s="71"/>
      <c r="I45" s="71">
        <v>1608278</v>
      </c>
      <c r="J45" s="24"/>
      <c r="K45" s="71">
        <v>5596843</v>
      </c>
      <c r="L45" s="71">
        <f>61080544-1</f>
        <v>61080543</v>
      </c>
      <c r="M45" s="24">
        <v>-2</v>
      </c>
      <c r="N45" s="23">
        <f t="shared" si="6"/>
        <v>68285664</v>
      </c>
      <c r="O45" s="23"/>
      <c r="P45" s="62">
        <f t="shared" si="7"/>
        <v>0.19608814656684453</v>
      </c>
    </row>
    <row r="46" spans="1:16" ht="20.100000000000001" customHeight="1" x14ac:dyDescent="0.2">
      <c r="A46" s="1">
        <f t="shared" si="2"/>
        <v>31</v>
      </c>
      <c r="B46" s="2"/>
      <c r="C46" s="2" t="s">
        <v>74</v>
      </c>
      <c r="D46" s="2"/>
      <c r="E46" s="71">
        <v>2442600</v>
      </c>
      <c r="F46" s="71"/>
      <c r="G46" s="71"/>
      <c r="H46" s="71"/>
      <c r="I46" s="71">
        <v>65520496</v>
      </c>
      <c r="J46" s="24"/>
      <c r="K46" s="71"/>
      <c r="L46" s="71"/>
      <c r="M46" s="24"/>
      <c r="N46" s="23">
        <f t="shared" si="6"/>
        <v>67963096</v>
      </c>
      <c r="O46" s="23"/>
      <c r="P46" s="62">
        <f t="shared" si="7"/>
        <v>0.19516186486206716</v>
      </c>
    </row>
    <row r="47" spans="1:16" ht="20.100000000000001" customHeight="1" x14ac:dyDescent="0.2">
      <c r="A47" s="1">
        <f t="shared" si="2"/>
        <v>32</v>
      </c>
      <c r="B47" s="2"/>
      <c r="C47" s="2" t="s">
        <v>33</v>
      </c>
      <c r="D47" s="2"/>
      <c r="E47" s="71"/>
      <c r="F47" s="71"/>
      <c r="G47" s="71"/>
      <c r="H47" s="71"/>
      <c r="I47" s="71"/>
      <c r="J47" s="24"/>
      <c r="K47" s="71"/>
      <c r="L47" s="71"/>
      <c r="M47" s="24"/>
      <c r="N47" s="23">
        <f t="shared" si="6"/>
        <v>0</v>
      </c>
      <c r="O47" s="23"/>
      <c r="P47" s="62">
        <f t="shared" si="7"/>
        <v>0</v>
      </c>
    </row>
    <row r="48" spans="1:16" ht="20.100000000000001" customHeight="1" x14ac:dyDescent="0.2">
      <c r="A48" s="1">
        <f t="shared" si="2"/>
        <v>33</v>
      </c>
      <c r="B48" s="2"/>
      <c r="C48" s="2" t="s">
        <v>37</v>
      </c>
      <c r="D48" s="2"/>
      <c r="E48" s="71"/>
      <c r="F48" s="71"/>
      <c r="G48" s="71"/>
      <c r="H48" s="71"/>
      <c r="I48" s="71"/>
      <c r="J48" s="24"/>
      <c r="K48"/>
      <c r="L48" s="71"/>
      <c r="M48" s="24"/>
      <c r="N48" s="23">
        <f t="shared" si="6"/>
        <v>0</v>
      </c>
      <c r="O48" s="23"/>
      <c r="P48" s="62">
        <f t="shared" si="7"/>
        <v>0</v>
      </c>
    </row>
    <row r="49" spans="1:25" ht="20.100000000000001" customHeight="1" x14ac:dyDescent="0.2">
      <c r="A49" s="1">
        <f>+A48+1</f>
        <v>34</v>
      </c>
      <c r="B49" s="2"/>
      <c r="C49" s="2" t="s">
        <v>85</v>
      </c>
      <c r="D49" s="2"/>
      <c r="E49" s="71">
        <v>1900300</v>
      </c>
      <c r="F49" s="71"/>
      <c r="G49" s="71"/>
      <c r="H49" s="71"/>
      <c r="I49" s="71"/>
      <c r="J49" s="24"/>
      <c r="K49" s="71"/>
      <c r="L49" s="71"/>
      <c r="M49" s="24"/>
      <c r="N49" s="23">
        <f>SUM(E49:L49)</f>
        <v>1900300</v>
      </c>
      <c r="O49" s="23"/>
      <c r="P49" s="62">
        <f>+N49/$N$51</f>
        <v>5.4568745926081149E-3</v>
      </c>
    </row>
    <row r="50" spans="1:25" x14ac:dyDescent="0.2">
      <c r="A50" s="1">
        <f>+A49+1</f>
        <v>35</v>
      </c>
      <c r="B50" s="2"/>
      <c r="C50" s="2"/>
      <c r="D50" s="2"/>
      <c r="E50" s="23"/>
      <c r="F50" s="23"/>
      <c r="G50" s="23"/>
      <c r="H50" s="23"/>
      <c r="I50" s="23"/>
      <c r="J50" s="24"/>
      <c r="K50" s="23"/>
      <c r="L50" s="23"/>
      <c r="M50" s="24"/>
      <c r="N50" s="23"/>
      <c r="O50" s="23"/>
      <c r="P50" s="23"/>
    </row>
    <row r="51" spans="1:25" ht="20.100000000000001" customHeight="1" x14ac:dyDescent="0.2">
      <c r="A51" s="1">
        <f t="shared" si="2"/>
        <v>36</v>
      </c>
      <c r="B51" s="2"/>
      <c r="C51" s="2" t="s">
        <v>34</v>
      </c>
      <c r="D51" s="2"/>
      <c r="E51" s="22">
        <f>SUM(E36:E50)</f>
        <v>139809300</v>
      </c>
      <c r="F51" s="22">
        <f>SUM(F36:F50)</f>
        <v>7580247</v>
      </c>
      <c r="G51" s="22">
        <f>SUM(G36:G50)</f>
        <v>536400</v>
      </c>
      <c r="H51" s="22"/>
      <c r="I51" s="22">
        <f>SUM(I36:I50)</f>
        <v>67128774</v>
      </c>
      <c r="J51" s="21"/>
      <c r="K51" s="22">
        <f>SUM(K36:K50)</f>
        <v>44061887</v>
      </c>
      <c r="L51" s="22">
        <f>SUM(L36:L50)</f>
        <v>89123024</v>
      </c>
      <c r="M51" s="21"/>
      <c r="N51" s="22">
        <f>SUM(N36:N50)</f>
        <v>348239632</v>
      </c>
      <c r="O51" s="20"/>
      <c r="P51" s="63">
        <f>SUM(P37:P50)</f>
        <v>1</v>
      </c>
    </row>
    <row r="52" spans="1:25" x14ac:dyDescent="0.2">
      <c r="A52" s="1">
        <f t="shared" si="2"/>
        <v>37</v>
      </c>
      <c r="B52" s="2"/>
      <c r="C52" s="2"/>
      <c r="D52" s="2"/>
      <c r="E52" s="22"/>
      <c r="F52" s="22"/>
      <c r="G52" s="22"/>
      <c r="H52" s="22"/>
      <c r="I52" s="22"/>
      <c r="J52" s="21"/>
      <c r="K52" s="22"/>
      <c r="L52" s="22"/>
      <c r="M52" s="21"/>
      <c r="N52" s="22"/>
      <c r="O52" s="20"/>
      <c r="P52" s="20"/>
    </row>
    <row r="53" spans="1:25" x14ac:dyDescent="0.2">
      <c r="A53" s="1">
        <f t="shared" si="2"/>
        <v>38</v>
      </c>
      <c r="B53" s="2"/>
      <c r="C53" s="2"/>
      <c r="D53" s="2"/>
      <c r="E53" s="20"/>
      <c r="F53" s="20"/>
      <c r="G53" s="20"/>
      <c r="H53" s="20"/>
      <c r="I53" s="20"/>
      <c r="J53" s="21"/>
      <c r="K53" s="20"/>
      <c r="L53" s="20"/>
      <c r="M53" s="21"/>
      <c r="N53" s="20"/>
      <c r="O53" s="20"/>
      <c r="P53" s="20"/>
    </row>
    <row r="54" spans="1:25" ht="20.100000000000001" customHeight="1" thickBot="1" x14ac:dyDescent="0.25">
      <c r="A54" s="1">
        <f t="shared" si="2"/>
        <v>39</v>
      </c>
      <c r="B54" s="2" t="s">
        <v>2</v>
      </c>
      <c r="C54" s="2"/>
      <c r="D54" s="2"/>
      <c r="E54" s="20">
        <f>(E32-E51)</f>
        <v>0</v>
      </c>
      <c r="F54" s="20">
        <f>(F32-F51)</f>
        <v>0</v>
      </c>
      <c r="G54" s="20">
        <f>(G32-G51)</f>
        <v>0</v>
      </c>
      <c r="H54" s="20"/>
      <c r="I54" s="20">
        <f>(I32-I51)</f>
        <v>-324670</v>
      </c>
      <c r="J54" s="21"/>
      <c r="K54" s="20">
        <f>(K32-K51)</f>
        <v>6660895</v>
      </c>
      <c r="L54" s="20">
        <f>(L32-L51)</f>
        <v>0</v>
      </c>
      <c r="M54" s="21"/>
      <c r="N54" s="20">
        <f>(N32-N51)</f>
        <v>6336225</v>
      </c>
      <c r="O54" s="20"/>
      <c r="P54" s="20"/>
    </row>
    <row r="55" spans="1:25" ht="15.75" thickTop="1" x14ac:dyDescent="0.2">
      <c r="A55" s="1">
        <f t="shared" si="2"/>
        <v>40</v>
      </c>
      <c r="B55" s="2"/>
      <c r="C55" s="2"/>
      <c r="D55" s="2"/>
      <c r="E55" s="18"/>
      <c r="F55" s="18"/>
      <c r="G55" s="18"/>
      <c r="H55" s="18"/>
      <c r="I55" s="18"/>
      <c r="J55" s="15"/>
      <c r="K55" s="18"/>
      <c r="L55" s="18"/>
      <c r="M55" s="15"/>
      <c r="N55" s="18"/>
    </row>
    <row r="56" spans="1:25" x14ac:dyDescent="0.2">
      <c r="A56" s="1">
        <f t="shared" si="2"/>
        <v>41</v>
      </c>
      <c r="B56" s="2"/>
      <c r="C56" s="2"/>
      <c r="D56" s="2"/>
      <c r="J56" s="15"/>
      <c r="M56" s="15"/>
    </row>
    <row r="57" spans="1:25" ht="20.100000000000001" customHeight="1" x14ac:dyDescent="0.2">
      <c r="A57" s="1">
        <f t="shared" si="2"/>
        <v>42</v>
      </c>
      <c r="B57" s="2" t="s">
        <v>3</v>
      </c>
      <c r="C57" s="2"/>
      <c r="D57" s="2"/>
      <c r="E57" s="73">
        <v>1319.36</v>
      </c>
      <c r="F57" s="73">
        <v>99.69</v>
      </c>
      <c r="G57" s="73">
        <v>5</v>
      </c>
      <c r="H57" s="73"/>
      <c r="I57" s="73">
        <v>369.62</v>
      </c>
      <c r="J57" s="73"/>
      <c r="K57" s="73">
        <v>209.75</v>
      </c>
      <c r="L57" s="73">
        <v>170</v>
      </c>
      <c r="M57" s="19"/>
      <c r="N57" s="16">
        <f>SUM(E57:L57)</f>
        <v>2173.42</v>
      </c>
      <c r="O57" s="16"/>
      <c r="P57" s="16"/>
    </row>
    <row r="58" spans="1:25" x14ac:dyDescent="0.2">
      <c r="A58" s="1">
        <f t="shared" si="2"/>
        <v>43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4"/>
      <c r="N58" s="2"/>
      <c r="O58" s="2"/>
      <c r="P58" s="2"/>
    </row>
    <row r="59" spans="1:25" ht="20.100000000000001" customHeight="1" x14ac:dyDescent="0.2">
      <c r="A59" s="1">
        <f t="shared" si="2"/>
        <v>44</v>
      </c>
      <c r="B59" s="2"/>
      <c r="C59" s="2" t="s">
        <v>75</v>
      </c>
      <c r="D59" s="2"/>
      <c r="E59" s="2"/>
      <c r="F59" s="2"/>
      <c r="G59" s="2"/>
      <c r="H59" s="2"/>
      <c r="I59" s="2"/>
      <c r="J59" s="2"/>
      <c r="K59" s="2"/>
      <c r="L59" s="2"/>
      <c r="M59" s="4"/>
      <c r="N59" s="2"/>
      <c r="O59" s="2"/>
      <c r="P59" s="2"/>
    </row>
    <row r="60" spans="1:25" ht="20.100000000000001" customHeight="1" x14ac:dyDescent="0.2">
      <c r="A60" s="1">
        <f t="shared" si="2"/>
        <v>45</v>
      </c>
      <c r="B60" s="2"/>
      <c r="C60" s="2" t="s">
        <v>35</v>
      </c>
      <c r="D60" s="2"/>
      <c r="E60" s="2"/>
      <c r="F60" s="2"/>
      <c r="G60" s="2"/>
      <c r="H60" s="2"/>
      <c r="I60" s="2"/>
      <c r="J60" s="2"/>
      <c r="K60" s="2"/>
      <c r="L60" s="2"/>
      <c r="M60" s="4"/>
      <c r="N60" s="2"/>
      <c r="O60" s="2"/>
      <c r="P60" s="2"/>
    </row>
    <row r="61" spans="1:25" ht="20.100000000000001" customHeight="1" x14ac:dyDescent="0.2">
      <c r="A61" s="1">
        <f t="shared" si="2"/>
        <v>46</v>
      </c>
      <c r="B61" s="2"/>
      <c r="C61" s="2" t="s">
        <v>76</v>
      </c>
      <c r="D61" s="2"/>
      <c r="E61" s="2"/>
      <c r="F61" s="2"/>
      <c r="G61" s="2"/>
      <c r="H61" s="2"/>
      <c r="I61" s="2"/>
      <c r="J61" s="2"/>
      <c r="K61" s="2"/>
      <c r="L61" s="2"/>
      <c r="M61" s="4"/>
      <c r="N61" s="2"/>
      <c r="O61" s="2"/>
      <c r="P61" s="2"/>
      <c r="Q61" s="67"/>
      <c r="R61" s="67"/>
      <c r="S61" s="67"/>
      <c r="T61" s="67"/>
      <c r="U61" s="67"/>
      <c r="V61" s="67"/>
      <c r="W61" s="67"/>
      <c r="X61" s="67"/>
      <c r="Y61" s="67"/>
    </row>
    <row r="62" spans="1:25" x14ac:dyDescent="0.2">
      <c r="B62" s="3"/>
      <c r="M62" s="15"/>
    </row>
  </sheetData>
  <mergeCells count="1">
    <mergeCell ref="E8:G8"/>
  </mergeCells>
  <phoneticPr fontId="3" type="noConversion"/>
  <printOptions horizontalCentered="1"/>
  <pageMargins left="0.25" right="0.25" top="0.5" bottom="0.8" header="0" footer="0.42"/>
  <pageSetup scale="60" orientation="portrait" r:id="rId1"/>
  <headerFooter alignWithMargins="0">
    <oddFooter>&amp;L&amp;"Arial,Bold"&amp;18CONSENT AGENDA -BAHR - SECTION II&amp;R&amp;08Last Modified: 9/19/2007 4:29:13 PM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03"/>
  <sheetViews>
    <sheetView showOutlineSymbols="0" view="pageBreakPreview" zoomScale="60" zoomScaleNormal="75" workbookViewId="0">
      <selection activeCell="C18" sqref="C18"/>
    </sheetView>
  </sheetViews>
  <sheetFormatPr defaultColWidth="9.6640625" defaultRowHeight="15" x14ac:dyDescent="0.2"/>
  <cols>
    <col min="1" max="1" width="2.77734375" style="1" customWidth="1"/>
    <col min="2" max="2" width="1.88671875" style="1" customWidth="1"/>
    <col min="3" max="3" width="24.21875" style="1" customWidth="1"/>
    <col min="4" max="4" width="0.88671875" style="1" customWidth="1"/>
    <col min="5" max="5" width="12.77734375" style="1" bestFit="1" customWidth="1"/>
    <col min="6" max="7" width="11.77734375" style="1" bestFit="1" customWidth="1"/>
    <col min="8" max="8" width="0.88671875" style="1" customWidth="1"/>
    <col min="9" max="9" width="13" style="1" bestFit="1" customWidth="1"/>
    <col min="10" max="10" width="0.88671875" style="1" customWidth="1"/>
    <col min="11" max="12" width="12.77734375" style="1" bestFit="1" customWidth="1"/>
    <col min="13" max="13" width="3.21875" style="1" bestFit="1" customWidth="1"/>
    <col min="14" max="14" width="12.77734375" style="1" bestFit="1" customWidth="1"/>
    <col min="15" max="15" width="0.88671875" style="1" customWidth="1"/>
    <col min="16" max="16" width="7" style="1" customWidth="1"/>
    <col min="17" max="17" width="21.88671875" style="1" customWidth="1"/>
    <col min="18" max="18" width="11.109375" style="1" bestFit="1" customWidth="1"/>
    <col min="19" max="16384" width="9.6640625" style="1"/>
  </cols>
  <sheetData>
    <row r="2" spans="1:17" ht="23.25" x14ac:dyDescent="0.35">
      <c r="B2" s="79" t="s">
        <v>5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ht="23.25" x14ac:dyDescent="0.35">
      <c r="B3" s="79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7" ht="23.25" x14ac:dyDescent="0.35">
      <c r="B4" s="79" t="str">
        <f>Summary!B4</f>
        <v>Fiscal Year 2010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7" x14ac:dyDescent="0.2">
      <c r="B5" s="29"/>
      <c r="C5" s="29" t="s">
        <v>8</v>
      </c>
      <c r="D5" s="29"/>
      <c r="E5" s="29"/>
      <c r="F5" s="29"/>
      <c r="G5" s="29"/>
      <c r="H5" s="29"/>
      <c r="I5" s="29"/>
      <c r="J5" s="29"/>
      <c r="K5" s="29"/>
      <c r="L5" s="29"/>
      <c r="M5" s="28"/>
      <c r="N5" s="29"/>
      <c r="O5" s="29"/>
      <c r="P5" s="29"/>
    </row>
    <row r="6" spans="1:17" s="103" customFormat="1" ht="15.75" x14ac:dyDescent="0.25">
      <c r="C6" s="103" t="s">
        <v>8</v>
      </c>
      <c r="D6" s="104"/>
      <c r="E6" s="103" t="s">
        <v>92</v>
      </c>
      <c r="F6" s="103" t="s">
        <v>93</v>
      </c>
      <c r="G6" s="103" t="s">
        <v>94</v>
      </c>
      <c r="I6" s="103" t="s">
        <v>95</v>
      </c>
      <c r="K6" s="103" t="s">
        <v>96</v>
      </c>
      <c r="L6" s="103" t="s">
        <v>97</v>
      </c>
      <c r="N6" s="103" t="s">
        <v>98</v>
      </c>
      <c r="P6" s="103" t="s">
        <v>99</v>
      </c>
    </row>
    <row r="7" spans="1:17" ht="20.100000000000001" customHeight="1" x14ac:dyDescent="0.2">
      <c r="B7" s="29"/>
      <c r="C7" s="29"/>
      <c r="D7" s="29"/>
      <c r="E7" s="5" t="s">
        <v>39</v>
      </c>
      <c r="F7" s="5"/>
      <c r="G7" s="5"/>
      <c r="H7" s="58"/>
      <c r="I7" s="58"/>
      <c r="J7" s="5"/>
      <c r="K7" s="5"/>
      <c r="L7" s="5"/>
      <c r="M7" s="5"/>
      <c r="N7" s="5"/>
      <c r="O7" s="97"/>
      <c r="P7" s="97"/>
    </row>
    <row r="8" spans="1:17" ht="20.100000000000001" customHeight="1" x14ac:dyDescent="0.25">
      <c r="B8" s="2"/>
      <c r="C8" s="2"/>
      <c r="D8" s="2"/>
      <c r="E8" s="126" t="s">
        <v>40</v>
      </c>
      <c r="F8" s="126"/>
      <c r="G8" s="126"/>
      <c r="H8" s="57"/>
      <c r="I8" s="59" t="s">
        <v>64</v>
      </c>
      <c r="J8" s="7"/>
      <c r="K8" s="6" t="s">
        <v>47</v>
      </c>
      <c r="L8" s="6"/>
      <c r="M8" s="7"/>
      <c r="N8" s="8" t="s">
        <v>52</v>
      </c>
      <c r="O8" s="2"/>
      <c r="P8" s="9" t="s">
        <v>65</v>
      </c>
      <c r="Q8" s="94"/>
    </row>
    <row r="9" spans="1:17" ht="28.5" customHeight="1" x14ac:dyDescent="0.2">
      <c r="B9" s="2"/>
      <c r="C9" s="2"/>
      <c r="D9" s="2"/>
      <c r="E9" s="8" t="s">
        <v>41</v>
      </c>
      <c r="F9" s="115" t="s">
        <v>107</v>
      </c>
      <c r="G9" s="8" t="s">
        <v>43</v>
      </c>
      <c r="H9" s="56"/>
      <c r="I9" s="56" t="s">
        <v>45</v>
      </c>
      <c r="J9" s="4"/>
      <c r="K9" s="8" t="s">
        <v>48</v>
      </c>
      <c r="L9" s="8" t="s">
        <v>50</v>
      </c>
      <c r="M9" s="4"/>
      <c r="N9" s="9" t="s">
        <v>53</v>
      </c>
      <c r="O9" s="2"/>
      <c r="P9" s="9" t="s">
        <v>100</v>
      </c>
    </row>
    <row r="10" spans="1:17" ht="20.100000000000001" customHeight="1" x14ac:dyDescent="0.2">
      <c r="B10" s="2"/>
      <c r="C10" s="2"/>
      <c r="D10" s="2"/>
      <c r="E10" s="9" t="s">
        <v>42</v>
      </c>
      <c r="F10" s="9" t="s">
        <v>42</v>
      </c>
      <c r="G10" s="9" t="s">
        <v>44</v>
      </c>
      <c r="H10" s="9"/>
      <c r="I10" s="9" t="s">
        <v>46</v>
      </c>
      <c r="J10" s="4"/>
      <c r="K10" s="9" t="s">
        <v>49</v>
      </c>
      <c r="L10" s="9" t="s">
        <v>51</v>
      </c>
      <c r="M10" s="4"/>
      <c r="N10" s="9" t="s">
        <v>54</v>
      </c>
      <c r="O10" s="2"/>
      <c r="P10" s="9" t="s">
        <v>52</v>
      </c>
    </row>
    <row r="11" spans="1:17" ht="15.75" x14ac:dyDescent="0.25">
      <c r="B11" s="98" t="s">
        <v>90</v>
      </c>
      <c r="C11" s="2"/>
      <c r="D11" s="2"/>
      <c r="E11" s="10"/>
      <c r="F11" s="10"/>
      <c r="G11" s="10"/>
      <c r="H11" s="10"/>
      <c r="I11" s="10"/>
      <c r="J11" s="4"/>
      <c r="K11" s="10"/>
      <c r="L11" s="10"/>
      <c r="M11" s="4"/>
      <c r="N11" s="10"/>
      <c r="O11" s="2"/>
      <c r="P11" s="61"/>
    </row>
    <row r="12" spans="1:17" ht="20.100000000000001" customHeight="1" x14ac:dyDescent="0.2">
      <c r="B12" s="2"/>
      <c r="C12" s="2" t="s">
        <v>9</v>
      </c>
      <c r="D12" s="2"/>
      <c r="E12" s="2"/>
      <c r="F12" s="2" t="s">
        <v>8</v>
      </c>
      <c r="G12" s="2"/>
      <c r="H12" s="2"/>
      <c r="I12" s="2"/>
      <c r="J12" s="4"/>
      <c r="K12" s="2"/>
      <c r="L12" s="2"/>
      <c r="M12" s="4"/>
      <c r="N12" s="2"/>
      <c r="O12" s="2"/>
      <c r="P12" s="2"/>
    </row>
    <row r="13" spans="1:17" ht="20.100000000000001" customHeight="1" x14ac:dyDescent="0.25">
      <c r="A13" s="1">
        <v>1</v>
      </c>
      <c r="B13" s="2"/>
      <c r="C13" s="2" t="s">
        <v>10</v>
      </c>
      <c r="D13" s="2"/>
      <c r="E13" s="105">
        <f>77378100-2959900</f>
        <v>74418200</v>
      </c>
      <c r="F13" s="105">
        <v>10664746</v>
      </c>
      <c r="G13" s="105">
        <f>1209300+599300-16400+747300</f>
        <v>2539500</v>
      </c>
      <c r="H13" s="20"/>
      <c r="I13" s="20"/>
      <c r="J13" s="21"/>
      <c r="K13" s="20"/>
      <c r="L13" s="20"/>
      <c r="M13" s="21"/>
      <c r="N13" s="20">
        <f t="shared" ref="N13:N18" si="0">SUM(E13:L13)</f>
        <v>87622446</v>
      </c>
      <c r="O13" s="20"/>
      <c r="P13" s="62">
        <f t="shared" ref="P13:P18" si="1">+N13/$N$32</f>
        <v>0.30178547483683799</v>
      </c>
    </row>
    <row r="14" spans="1:17" ht="20.100000000000001" customHeight="1" x14ac:dyDescent="0.25">
      <c r="A14" s="1">
        <f>+A13+1</f>
        <v>2</v>
      </c>
      <c r="B14" s="2"/>
      <c r="C14" s="2" t="s">
        <v>108</v>
      </c>
      <c r="D14" s="2"/>
      <c r="E14" s="106">
        <f>2267000+692900</f>
        <v>2959900</v>
      </c>
      <c r="F14" s="106"/>
      <c r="G14" s="106">
        <v>16400</v>
      </c>
      <c r="H14" s="23"/>
      <c r="I14" s="23"/>
      <c r="J14" s="24"/>
      <c r="K14" s="23"/>
      <c r="L14" s="23"/>
      <c r="M14" s="24"/>
      <c r="N14" s="23">
        <f t="shared" si="0"/>
        <v>2976300</v>
      </c>
      <c r="O14" s="23"/>
      <c r="P14" s="62">
        <f t="shared" si="1"/>
        <v>1.0250844957659374E-2</v>
      </c>
    </row>
    <row r="15" spans="1:17" ht="20.100000000000001" customHeight="1" x14ac:dyDescent="0.25">
      <c r="A15" s="1">
        <f>+A14+1</f>
        <v>3</v>
      </c>
      <c r="B15" s="2"/>
      <c r="C15" s="2" t="s">
        <v>11</v>
      </c>
      <c r="D15" s="2"/>
      <c r="E15" s="106">
        <v>2020700</v>
      </c>
      <c r="F15" s="106"/>
      <c r="G15" s="106"/>
      <c r="H15" s="23"/>
      <c r="I15" s="23"/>
      <c r="J15" s="24"/>
      <c r="K15" s="23"/>
      <c r="L15" s="23"/>
      <c r="M15" s="24"/>
      <c r="N15" s="23">
        <f t="shared" si="0"/>
        <v>2020700</v>
      </c>
      <c r="O15" s="23"/>
      <c r="P15" s="62">
        <f t="shared" si="1"/>
        <v>6.9596083748084195E-3</v>
      </c>
    </row>
    <row r="16" spans="1:17" ht="20.100000000000001" customHeight="1" x14ac:dyDescent="0.25">
      <c r="A16" s="1">
        <f t="shared" ref="A16:A61" si="2">+A15+1</f>
        <v>4</v>
      </c>
      <c r="B16" s="2"/>
      <c r="C16" s="2" t="s">
        <v>12</v>
      </c>
      <c r="D16" s="2"/>
      <c r="E16" s="106">
        <v>33860500</v>
      </c>
      <c r="F16" s="106"/>
      <c r="G16" s="106">
        <v>152720</v>
      </c>
      <c r="H16" s="23"/>
      <c r="I16" s="23"/>
      <c r="J16" s="24"/>
      <c r="K16" s="23"/>
      <c r="L16" s="23"/>
      <c r="M16" s="24"/>
      <c r="N16" s="23">
        <f t="shared" si="0"/>
        <v>34013220</v>
      </c>
      <c r="O16" s="23"/>
      <c r="P16" s="62">
        <f t="shared" si="1"/>
        <v>0.11714687522452676</v>
      </c>
    </row>
    <row r="17" spans="1:16" ht="20.100000000000001" customHeight="1" x14ac:dyDescent="0.25">
      <c r="A17" s="1">
        <f t="shared" ref="A17:A32" si="3">+A16+1</f>
        <v>5</v>
      </c>
      <c r="B17" s="2"/>
      <c r="C17" s="29" t="s">
        <v>109</v>
      </c>
      <c r="D17" s="2"/>
      <c r="E17" s="106"/>
      <c r="F17" s="106"/>
      <c r="G17" s="106"/>
      <c r="H17" s="23"/>
      <c r="I17" s="23"/>
      <c r="J17" s="24"/>
      <c r="K17" s="23"/>
      <c r="L17" s="23"/>
      <c r="M17" s="24"/>
      <c r="N17" s="23">
        <f t="shared" si="0"/>
        <v>0</v>
      </c>
      <c r="O17" s="23"/>
      <c r="P17" s="62">
        <f t="shared" si="1"/>
        <v>0</v>
      </c>
    </row>
    <row r="18" spans="1:16" ht="20.100000000000001" customHeight="1" x14ac:dyDescent="0.25">
      <c r="A18" s="1">
        <f t="shared" si="3"/>
        <v>6</v>
      </c>
      <c r="B18" s="2"/>
      <c r="C18" s="69" t="s">
        <v>115</v>
      </c>
      <c r="D18" s="2"/>
      <c r="E18" s="106"/>
      <c r="F18" s="106"/>
      <c r="G18" s="106"/>
      <c r="H18" s="23"/>
      <c r="I18" s="23"/>
      <c r="J18" s="24"/>
      <c r="K18" s="23"/>
      <c r="L18" s="23"/>
      <c r="M18" s="24"/>
      <c r="N18" s="23">
        <f t="shared" si="0"/>
        <v>0</v>
      </c>
      <c r="O18" s="23"/>
      <c r="P18" s="62">
        <f t="shared" si="1"/>
        <v>0</v>
      </c>
    </row>
    <row r="19" spans="1:16" x14ac:dyDescent="0.2">
      <c r="A19" s="1">
        <f t="shared" si="3"/>
        <v>7</v>
      </c>
      <c r="B19" s="2"/>
      <c r="C19" s="2"/>
      <c r="D19" s="2"/>
      <c r="E19" s="23"/>
      <c r="F19" s="23"/>
      <c r="G19" s="23"/>
      <c r="H19" s="23"/>
      <c r="I19" s="23"/>
      <c r="J19" s="24"/>
      <c r="K19" s="23"/>
      <c r="L19" s="23"/>
      <c r="M19" s="24"/>
      <c r="N19" s="23"/>
      <c r="O19" s="23"/>
      <c r="P19" s="23"/>
    </row>
    <row r="20" spans="1:16" ht="20.100000000000001" customHeight="1" x14ac:dyDescent="0.2">
      <c r="A20" s="1">
        <f t="shared" si="3"/>
        <v>8</v>
      </c>
      <c r="B20" s="2"/>
      <c r="C20" s="2" t="s">
        <v>36</v>
      </c>
      <c r="D20" s="2"/>
      <c r="E20" s="22">
        <f>SUM(E11:E19)</f>
        <v>113259300</v>
      </c>
      <c r="F20" s="22">
        <f>SUM(F11:F19)</f>
        <v>10664746</v>
      </c>
      <c r="G20" s="22">
        <f>SUM(G11:G19)</f>
        <v>2708620</v>
      </c>
      <c r="H20" s="22"/>
      <c r="I20" s="22">
        <f>SUM(I11:I19)</f>
        <v>0</v>
      </c>
      <c r="J20" s="21"/>
      <c r="K20" s="22">
        <f>SUM(K11:K19)</f>
        <v>0</v>
      </c>
      <c r="L20" s="22">
        <f>SUM(L11:L19)</f>
        <v>0</v>
      </c>
      <c r="M20" s="21"/>
      <c r="N20" s="22">
        <f>SUM(N11:N19)</f>
        <v>126632666</v>
      </c>
      <c r="O20" s="20"/>
      <c r="P20" s="63">
        <f>+N20/$N$32</f>
        <v>0.43614280339383249</v>
      </c>
    </row>
    <row r="21" spans="1:16" x14ac:dyDescent="0.2">
      <c r="A21" s="1">
        <f t="shared" si="3"/>
        <v>9</v>
      </c>
      <c r="B21" s="2"/>
      <c r="C21" s="2"/>
      <c r="D21" s="2"/>
      <c r="E21" s="17"/>
      <c r="F21" s="17"/>
      <c r="G21" s="17"/>
      <c r="H21" s="17"/>
      <c r="I21" s="17"/>
      <c r="J21" s="15"/>
      <c r="K21" s="17"/>
      <c r="L21" s="17"/>
      <c r="M21" s="15"/>
      <c r="N21" s="17"/>
    </row>
    <row r="22" spans="1:16" ht="20.100000000000001" customHeight="1" x14ac:dyDescent="0.25">
      <c r="A22" s="1">
        <f t="shared" si="3"/>
        <v>10</v>
      </c>
      <c r="B22" s="2"/>
      <c r="C22" s="2" t="s">
        <v>14</v>
      </c>
      <c r="D22" s="2"/>
      <c r="E22" s="20"/>
      <c r="F22" s="20"/>
      <c r="G22" s="20"/>
      <c r="H22" s="20"/>
      <c r="I22" s="105">
        <v>9042594</v>
      </c>
      <c r="J22" s="107"/>
      <c r="K22" s="105">
        <v>9239176</v>
      </c>
      <c r="L22" s="105"/>
      <c r="M22" s="21"/>
      <c r="N22" s="20">
        <f t="shared" ref="N22:N30" si="4">SUM(E22:L22)</f>
        <v>18281770</v>
      </c>
      <c r="O22" s="20"/>
      <c r="P22" s="62">
        <f t="shared" ref="P22:P30" si="5">+N22/$N$32</f>
        <v>6.2965289057416399E-2</v>
      </c>
    </row>
    <row r="23" spans="1:16" ht="20.100000000000001" customHeight="1" x14ac:dyDescent="0.25">
      <c r="A23" s="1">
        <f t="shared" si="3"/>
        <v>11</v>
      </c>
      <c r="B23" s="2"/>
      <c r="C23" s="2" t="s">
        <v>15</v>
      </c>
      <c r="D23" s="2"/>
      <c r="E23" s="23"/>
      <c r="F23" s="23"/>
      <c r="G23" s="23"/>
      <c r="H23" s="23"/>
      <c r="I23" s="106"/>
      <c r="J23" s="108"/>
      <c r="K23" s="106"/>
      <c r="L23" s="106"/>
      <c r="M23" s="24"/>
      <c r="N23" s="23">
        <f t="shared" si="4"/>
        <v>0</v>
      </c>
      <c r="O23" s="23"/>
      <c r="P23" s="62">
        <f t="shared" si="5"/>
        <v>0</v>
      </c>
    </row>
    <row r="24" spans="1:16" ht="20.100000000000001" customHeight="1" x14ac:dyDescent="0.25">
      <c r="A24" s="1">
        <f t="shared" si="3"/>
        <v>12</v>
      </c>
      <c r="B24" s="2"/>
      <c r="C24" s="2" t="s">
        <v>16</v>
      </c>
      <c r="D24" s="2"/>
      <c r="E24" s="23"/>
      <c r="F24" s="23"/>
      <c r="G24" s="23"/>
      <c r="H24" s="23"/>
      <c r="I24" s="106">
        <v>79600</v>
      </c>
      <c r="J24" s="108"/>
      <c r="K24" s="106"/>
      <c r="L24" s="106">
        <v>89067350</v>
      </c>
      <c r="M24" s="24">
        <v>-2</v>
      </c>
      <c r="N24" s="23">
        <f t="shared" si="4"/>
        <v>89146950</v>
      </c>
      <c r="O24" s="23"/>
      <c r="P24" s="62">
        <f t="shared" si="5"/>
        <v>0.30703610620509103</v>
      </c>
    </row>
    <row r="25" spans="1:16" ht="20.100000000000001" customHeight="1" x14ac:dyDescent="0.25">
      <c r="A25" s="1">
        <f t="shared" si="3"/>
        <v>13</v>
      </c>
      <c r="B25" s="2"/>
      <c r="C25" s="2" t="s">
        <v>17</v>
      </c>
      <c r="D25" s="2"/>
      <c r="E25" s="23"/>
      <c r="F25" s="23"/>
      <c r="G25" s="23"/>
      <c r="H25" s="23"/>
      <c r="I25" s="106"/>
      <c r="J25" s="108"/>
      <c r="K25" s="106">
        <v>86836</v>
      </c>
      <c r="L25" s="106">
        <v>7473404</v>
      </c>
      <c r="M25" s="24"/>
      <c r="N25" s="23">
        <f t="shared" si="4"/>
        <v>7560240</v>
      </c>
      <c r="O25" s="23"/>
      <c r="P25" s="62">
        <f t="shared" si="5"/>
        <v>2.6038654733291238E-2</v>
      </c>
    </row>
    <row r="26" spans="1:16" ht="20.100000000000001" customHeight="1" x14ac:dyDescent="0.25">
      <c r="A26" s="1">
        <f t="shared" si="3"/>
        <v>14</v>
      </c>
      <c r="B26" s="2"/>
      <c r="C26" s="2" t="s">
        <v>18</v>
      </c>
      <c r="D26" s="2"/>
      <c r="E26" s="23"/>
      <c r="F26" s="23"/>
      <c r="G26" s="23"/>
      <c r="H26" s="23"/>
      <c r="I26" s="106">
        <v>669729</v>
      </c>
      <c r="J26" s="108"/>
      <c r="K26" s="106">
        <v>1744589</v>
      </c>
      <c r="L26" s="106">
        <v>9597876</v>
      </c>
      <c r="M26" s="24"/>
      <c r="N26" s="23">
        <f t="shared" si="4"/>
        <v>12012194</v>
      </c>
      <c r="O26" s="23"/>
      <c r="P26" s="62">
        <f t="shared" si="5"/>
        <v>4.1371883981899067E-2</v>
      </c>
    </row>
    <row r="27" spans="1:16" ht="20.100000000000001" customHeight="1" x14ac:dyDescent="0.25">
      <c r="A27" s="1">
        <f t="shared" si="3"/>
        <v>15</v>
      </c>
      <c r="B27" s="2"/>
      <c r="C27" s="2" t="s">
        <v>19</v>
      </c>
      <c r="D27" s="2"/>
      <c r="E27" s="23"/>
      <c r="F27" s="23"/>
      <c r="G27" s="23"/>
      <c r="H27" s="23"/>
      <c r="I27" s="106">
        <v>371907</v>
      </c>
      <c r="J27" s="108"/>
      <c r="K27" s="106">
        <v>4558149</v>
      </c>
      <c r="L27" s="106"/>
      <c r="M27" s="24"/>
      <c r="N27" s="23">
        <f t="shared" si="4"/>
        <v>4930056</v>
      </c>
      <c r="O27" s="23"/>
      <c r="P27" s="62">
        <f t="shared" si="5"/>
        <v>1.6979887675495867E-2</v>
      </c>
    </row>
    <row r="28" spans="1:16" ht="20.100000000000001" customHeight="1" x14ac:dyDescent="0.25">
      <c r="A28" s="1">
        <f t="shared" si="3"/>
        <v>16</v>
      </c>
      <c r="B28" s="2"/>
      <c r="C28" s="2" t="s">
        <v>20</v>
      </c>
      <c r="D28" s="2"/>
      <c r="E28" s="23"/>
      <c r="F28" s="23"/>
      <c r="G28" s="23"/>
      <c r="H28" s="23"/>
      <c r="I28" s="106">
        <v>10650140</v>
      </c>
      <c r="J28" s="108"/>
      <c r="K28" s="106">
        <v>11572474</v>
      </c>
      <c r="L28" s="106"/>
      <c r="M28" s="24"/>
      <c r="N28" s="23">
        <f t="shared" si="4"/>
        <v>22222614</v>
      </c>
      <c r="O28" s="23"/>
      <c r="P28" s="62">
        <f t="shared" si="5"/>
        <v>7.6538175139572839E-2</v>
      </c>
    </row>
    <row r="29" spans="1:16" ht="20.100000000000001" customHeight="1" x14ac:dyDescent="0.25">
      <c r="A29" s="1">
        <f t="shared" si="3"/>
        <v>17</v>
      </c>
      <c r="B29" s="2"/>
      <c r="C29" s="2" t="s">
        <v>21</v>
      </c>
      <c r="D29" s="2"/>
      <c r="E29" s="23"/>
      <c r="F29" s="23"/>
      <c r="G29" s="23"/>
      <c r="H29" s="23"/>
      <c r="I29" s="106"/>
      <c r="J29" s="108"/>
      <c r="K29" s="106">
        <v>6612348</v>
      </c>
      <c r="L29" s="106"/>
      <c r="M29" s="24"/>
      <c r="N29" s="23">
        <f t="shared" si="4"/>
        <v>6612348</v>
      </c>
      <c r="O29" s="23"/>
      <c r="P29" s="62">
        <f t="shared" si="5"/>
        <v>2.277396571383565E-2</v>
      </c>
    </row>
    <row r="30" spans="1:16" ht="20.100000000000001" customHeight="1" x14ac:dyDescent="0.25">
      <c r="A30" s="1">
        <f t="shared" si="3"/>
        <v>18</v>
      </c>
      <c r="B30" s="2"/>
      <c r="C30" s="2" t="s">
        <v>22</v>
      </c>
      <c r="D30" s="2"/>
      <c r="E30" s="23"/>
      <c r="F30" s="23"/>
      <c r="G30" s="23"/>
      <c r="H30" s="23"/>
      <c r="I30" s="106">
        <v>745032</v>
      </c>
      <c r="J30" s="108"/>
      <c r="K30" s="106">
        <v>1627064</v>
      </c>
      <c r="L30" s="106">
        <v>575863</v>
      </c>
      <c r="M30" s="24"/>
      <c r="N30" s="23">
        <f t="shared" si="4"/>
        <v>2947959</v>
      </c>
      <c r="O30" s="23"/>
      <c r="P30" s="62">
        <f t="shared" si="5"/>
        <v>1.0153234099565424E-2</v>
      </c>
    </row>
    <row r="31" spans="1:16" x14ac:dyDescent="0.2">
      <c r="A31" s="1">
        <f t="shared" si="3"/>
        <v>19</v>
      </c>
      <c r="B31" s="2"/>
      <c r="C31" s="2"/>
      <c r="D31" s="2"/>
      <c r="E31" s="23"/>
      <c r="F31" s="23"/>
      <c r="G31" s="23"/>
      <c r="H31" s="23"/>
      <c r="I31" s="23"/>
      <c r="J31" s="24"/>
      <c r="K31" s="23"/>
      <c r="L31" s="23"/>
      <c r="M31" s="24"/>
      <c r="N31" s="23"/>
      <c r="O31" s="23"/>
      <c r="P31" s="23"/>
    </row>
    <row r="32" spans="1:16" ht="20.100000000000001" customHeight="1" x14ac:dyDescent="0.2">
      <c r="A32" s="1">
        <f t="shared" si="3"/>
        <v>20</v>
      </c>
      <c r="B32" s="2"/>
      <c r="C32" s="2" t="s">
        <v>23</v>
      </c>
      <c r="D32" s="2"/>
      <c r="E32" s="22">
        <f>SUM(E20:E31)</f>
        <v>113259300</v>
      </c>
      <c r="F32" s="22">
        <f>SUM(F20:F31)</f>
        <v>10664746</v>
      </c>
      <c r="G32" s="22">
        <f>SUM(G20:G31)</f>
        <v>2708620</v>
      </c>
      <c r="H32" s="22"/>
      <c r="I32" s="22">
        <f>SUM(I20:I31)</f>
        <v>21559002</v>
      </c>
      <c r="J32" s="21"/>
      <c r="K32" s="22">
        <f>SUM(K20:K31)</f>
        <v>35440636</v>
      </c>
      <c r="L32" s="22">
        <f>SUM(L20:L31)</f>
        <v>106714493</v>
      </c>
      <c r="M32" s="21"/>
      <c r="N32" s="22">
        <f>SUM(N20:N31)</f>
        <v>290346797</v>
      </c>
      <c r="O32" s="20"/>
      <c r="P32" s="63">
        <f>SUM(P13:P31)-P20</f>
        <v>0.99999999999999989</v>
      </c>
    </row>
    <row r="33" spans="1:16" ht="15.75" thickBot="1" x14ac:dyDescent="0.25">
      <c r="B33" s="2"/>
      <c r="C33" s="2"/>
      <c r="D33" s="2"/>
      <c r="E33" s="25"/>
      <c r="F33" s="25"/>
      <c r="G33" s="25"/>
      <c r="H33" s="25"/>
      <c r="I33" s="25"/>
      <c r="J33" s="24"/>
      <c r="K33" s="25"/>
      <c r="L33" s="25"/>
      <c r="M33" s="24"/>
      <c r="N33" s="25"/>
      <c r="O33" s="23"/>
      <c r="P33" s="23"/>
    </row>
    <row r="34" spans="1:16" ht="16.5" thickTop="1" thickBot="1" x14ac:dyDescent="0.25">
      <c r="A34" s="99"/>
      <c r="B34" s="100"/>
      <c r="C34" s="100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</row>
    <row r="35" spans="1:16" ht="15.75" thickTop="1" x14ac:dyDescent="0.2">
      <c r="B35" s="2"/>
      <c r="C35" s="2"/>
      <c r="D35" s="2"/>
      <c r="E35" s="23"/>
      <c r="F35" s="23"/>
      <c r="G35" s="23"/>
      <c r="H35" s="23"/>
      <c r="I35" s="23"/>
      <c r="J35" s="24"/>
      <c r="K35" s="23"/>
      <c r="L35" s="23"/>
      <c r="M35" s="24"/>
      <c r="N35" s="26"/>
      <c r="O35" s="23"/>
      <c r="P35" s="23"/>
    </row>
    <row r="36" spans="1:16" ht="15.75" x14ac:dyDescent="0.25">
      <c r="A36" s="1">
        <f>+A32+1</f>
        <v>21</v>
      </c>
      <c r="B36" s="98" t="s">
        <v>91</v>
      </c>
      <c r="C36" s="2"/>
      <c r="D36" s="2"/>
      <c r="E36" s="23"/>
      <c r="F36" s="23"/>
      <c r="G36" s="23"/>
      <c r="H36" s="23"/>
      <c r="I36" s="23"/>
      <c r="J36" s="24"/>
      <c r="K36" s="23"/>
      <c r="L36" s="23"/>
      <c r="M36" s="24"/>
      <c r="N36" s="23"/>
      <c r="O36" s="23"/>
      <c r="P36" s="23"/>
    </row>
    <row r="37" spans="1:16" ht="20.100000000000001" customHeight="1" x14ac:dyDescent="0.25">
      <c r="A37" s="1">
        <f t="shared" si="2"/>
        <v>22</v>
      </c>
      <c r="B37" s="2"/>
      <c r="C37" s="2" t="s">
        <v>24</v>
      </c>
      <c r="D37" s="2"/>
      <c r="E37" s="105">
        <v>59415551</v>
      </c>
      <c r="F37" s="105">
        <v>10664746</v>
      </c>
      <c r="G37" s="105">
        <f>1362020+747300</f>
        <v>2109320</v>
      </c>
      <c r="H37" s="105"/>
      <c r="I37" s="105"/>
      <c r="J37" s="107"/>
      <c r="K37" s="105">
        <v>14997807</v>
      </c>
      <c r="L37" s="105">
        <v>5578115</v>
      </c>
      <c r="M37" s="21"/>
      <c r="N37" s="20">
        <f t="shared" ref="N37:N48" si="6">SUM(E37:L37)</f>
        <v>92765539</v>
      </c>
      <c r="O37" s="20"/>
      <c r="P37" s="62">
        <f t="shared" ref="P37:P48" si="7">+N37/$N$51</f>
        <v>0.31859077087892657</v>
      </c>
    </row>
    <row r="38" spans="1:16" ht="20.100000000000001" customHeight="1" x14ac:dyDescent="0.25">
      <c r="A38" s="1">
        <f t="shared" si="2"/>
        <v>23</v>
      </c>
      <c r="B38" s="2"/>
      <c r="C38" s="2" t="s">
        <v>25</v>
      </c>
      <c r="D38" s="2"/>
      <c r="E38" s="106">
        <v>3015928</v>
      </c>
      <c r="F38" s="106"/>
      <c r="G38" s="106"/>
      <c r="H38" s="106"/>
      <c r="I38" s="106"/>
      <c r="J38" s="108"/>
      <c r="K38" s="106">
        <v>4286930</v>
      </c>
      <c r="L38" s="106">
        <v>22671074</v>
      </c>
      <c r="M38" s="24"/>
      <c r="N38" s="23">
        <f t="shared" si="6"/>
        <v>29973932</v>
      </c>
      <c r="O38" s="23"/>
      <c r="P38" s="62">
        <f t="shared" si="7"/>
        <v>0.10294143930056315</v>
      </c>
    </row>
    <row r="39" spans="1:16" ht="20.100000000000001" customHeight="1" x14ac:dyDescent="0.25">
      <c r="A39" s="1">
        <f t="shared" si="2"/>
        <v>24</v>
      </c>
      <c r="B39" s="2"/>
      <c r="C39" s="2" t="s">
        <v>26</v>
      </c>
      <c r="D39" s="2"/>
      <c r="E39" s="106">
        <v>0</v>
      </c>
      <c r="F39" s="106"/>
      <c r="G39" s="106">
        <f>599300-16400</f>
        <v>582900</v>
      </c>
      <c r="H39" s="106"/>
      <c r="I39" s="106"/>
      <c r="J39" s="108"/>
      <c r="K39" s="106">
        <v>159171</v>
      </c>
      <c r="L39" s="106">
        <v>4084095</v>
      </c>
      <c r="M39" s="24"/>
      <c r="N39" s="23">
        <f t="shared" si="6"/>
        <v>4826166</v>
      </c>
      <c r="O39" s="23"/>
      <c r="P39" s="62">
        <f t="shared" si="7"/>
        <v>1.6574818223496393E-2</v>
      </c>
    </row>
    <row r="40" spans="1:16" ht="20.100000000000001" customHeight="1" x14ac:dyDescent="0.25">
      <c r="A40" s="1">
        <f t="shared" si="2"/>
        <v>25</v>
      </c>
      <c r="B40" s="2"/>
      <c r="C40" s="2" t="s">
        <v>27</v>
      </c>
      <c r="D40" s="2"/>
      <c r="E40" s="106">
        <v>8854082</v>
      </c>
      <c r="F40" s="106"/>
      <c r="G40" s="106"/>
      <c r="H40" s="106"/>
      <c r="I40" s="106"/>
      <c r="J40" s="108"/>
      <c r="K40" s="106">
        <v>4295261</v>
      </c>
      <c r="L40" s="106">
        <v>170484</v>
      </c>
      <c r="M40" s="24"/>
      <c r="N40" s="23">
        <f t="shared" si="6"/>
        <v>13319827</v>
      </c>
      <c r="O40" s="23"/>
      <c r="P40" s="62">
        <f t="shared" si="7"/>
        <v>4.5745154910423573E-2</v>
      </c>
    </row>
    <row r="41" spans="1:16" ht="20.100000000000001" customHeight="1" x14ac:dyDescent="0.25">
      <c r="A41" s="1">
        <f t="shared" si="2"/>
        <v>26</v>
      </c>
      <c r="B41" s="2"/>
      <c r="C41" s="2" t="s">
        <v>28</v>
      </c>
      <c r="D41" s="2"/>
      <c r="E41" s="106">
        <v>5186926</v>
      </c>
      <c r="F41" s="106"/>
      <c r="G41" s="106"/>
      <c r="H41" s="106"/>
      <c r="I41" s="106"/>
      <c r="J41" s="108"/>
      <c r="K41" s="106">
        <v>203100</v>
      </c>
      <c r="L41" s="106"/>
      <c r="M41" s="24"/>
      <c r="N41" s="23">
        <f t="shared" si="6"/>
        <v>5390026</v>
      </c>
      <c r="O41" s="23"/>
      <c r="P41" s="62">
        <f t="shared" si="7"/>
        <v>1.8511319579541892E-2</v>
      </c>
    </row>
    <row r="42" spans="1:16" ht="20.100000000000001" customHeight="1" x14ac:dyDescent="0.25">
      <c r="A42" s="1">
        <f t="shared" si="2"/>
        <v>27</v>
      </c>
      <c r="B42" s="2"/>
      <c r="C42" s="2" t="s">
        <v>29</v>
      </c>
      <c r="D42" s="2"/>
      <c r="E42" s="106">
        <v>6618099</v>
      </c>
      <c r="F42" s="106"/>
      <c r="G42" s="106"/>
      <c r="H42" s="106"/>
      <c r="I42" s="106"/>
      <c r="J42" s="108"/>
      <c r="K42" s="106">
        <v>1026053</v>
      </c>
      <c r="L42" s="106">
        <v>810857</v>
      </c>
      <c r="M42" s="24"/>
      <c r="N42" s="23">
        <f t="shared" si="6"/>
        <v>8455009</v>
      </c>
      <c r="O42" s="23"/>
      <c r="P42" s="62">
        <f t="shared" si="7"/>
        <v>2.9037591589892685E-2</v>
      </c>
    </row>
    <row r="43" spans="1:16" ht="20.100000000000001" customHeight="1" x14ac:dyDescent="0.25">
      <c r="A43" s="1">
        <f t="shared" si="2"/>
        <v>28</v>
      </c>
      <c r="B43" s="2"/>
      <c r="C43" s="2" t="s">
        <v>30</v>
      </c>
      <c r="D43" s="2"/>
      <c r="E43" s="106">
        <v>11018110</v>
      </c>
      <c r="F43" s="106"/>
      <c r="G43" s="106"/>
      <c r="H43" s="106"/>
      <c r="I43" s="106"/>
      <c r="J43" s="108"/>
      <c r="K43" s="106">
        <v>7557882</v>
      </c>
      <c r="L43" s="106"/>
      <c r="M43" s="24"/>
      <c r="N43" s="23">
        <f t="shared" si="6"/>
        <v>18575992</v>
      </c>
      <c r="O43" s="23"/>
      <c r="P43" s="62">
        <f t="shared" si="7"/>
        <v>6.379674688378377E-2</v>
      </c>
    </row>
    <row r="44" spans="1:16" ht="20.100000000000001" customHeight="1" x14ac:dyDescent="0.25">
      <c r="A44" s="1">
        <f t="shared" si="2"/>
        <v>29</v>
      </c>
      <c r="B44" s="2"/>
      <c r="C44" s="2" t="s">
        <v>31</v>
      </c>
      <c r="D44" s="2"/>
      <c r="E44" s="106">
        <v>13794504</v>
      </c>
      <c r="F44" s="106"/>
      <c r="G44" s="106"/>
      <c r="H44" s="106"/>
      <c r="I44" s="106"/>
      <c r="J44" s="108"/>
      <c r="K44" s="106">
        <v>1782173</v>
      </c>
      <c r="L44" s="106"/>
      <c r="M44" s="24"/>
      <c r="N44" s="23">
        <f t="shared" si="6"/>
        <v>15576677</v>
      </c>
      <c r="O44" s="23"/>
      <c r="P44" s="62">
        <f t="shared" si="7"/>
        <v>5.3496002790023617E-2</v>
      </c>
    </row>
    <row r="45" spans="1:16" ht="20.100000000000001" customHeight="1" x14ac:dyDescent="0.25">
      <c r="A45" s="1">
        <f t="shared" si="2"/>
        <v>30</v>
      </c>
      <c r="B45" s="2"/>
      <c r="C45" s="2" t="s">
        <v>32</v>
      </c>
      <c r="D45" s="2"/>
      <c r="E45" s="106"/>
      <c r="F45" s="106"/>
      <c r="G45" s="106"/>
      <c r="H45" s="106"/>
      <c r="I45" s="106"/>
      <c r="J45" s="108"/>
      <c r="K45" s="106">
        <v>1119000</v>
      </c>
      <c r="L45" s="106">
        <v>73399868</v>
      </c>
      <c r="M45" s="24">
        <v>-2</v>
      </c>
      <c r="N45" s="23">
        <f t="shared" si="6"/>
        <v>74518868</v>
      </c>
      <c r="O45" s="23"/>
      <c r="P45" s="62">
        <f t="shared" si="7"/>
        <v>0.25592503269069533</v>
      </c>
    </row>
    <row r="46" spans="1:16" ht="20.100000000000001" customHeight="1" x14ac:dyDescent="0.25">
      <c r="A46" s="1">
        <f t="shared" si="2"/>
        <v>31</v>
      </c>
      <c r="B46" s="2"/>
      <c r="C46" s="2" t="s">
        <v>77</v>
      </c>
      <c r="D46" s="2"/>
      <c r="E46" s="106">
        <v>3089100</v>
      </c>
      <c r="F46" s="106"/>
      <c r="G46" s="106"/>
      <c r="H46" s="106"/>
      <c r="I46" s="106">
        <v>22400060</v>
      </c>
      <c r="J46" s="108"/>
      <c r="K46" s="106"/>
      <c r="L46" s="106"/>
      <c r="M46" s="24"/>
      <c r="N46" s="23">
        <f t="shared" si="6"/>
        <v>25489160</v>
      </c>
      <c r="O46" s="23"/>
      <c r="P46" s="62">
        <f t="shared" si="7"/>
        <v>8.7539092867840715E-2</v>
      </c>
    </row>
    <row r="47" spans="1:16" ht="20.100000000000001" customHeight="1" x14ac:dyDescent="0.25">
      <c r="A47" s="1">
        <f t="shared" si="2"/>
        <v>32</v>
      </c>
      <c r="B47" s="2"/>
      <c r="C47" s="2" t="s">
        <v>33</v>
      </c>
      <c r="D47" s="2"/>
      <c r="E47" s="106"/>
      <c r="F47" s="106"/>
      <c r="G47" s="106"/>
      <c r="H47" s="106"/>
      <c r="I47" s="106"/>
      <c r="J47" s="108"/>
      <c r="K47" s="106"/>
      <c r="L47" s="106"/>
      <c r="M47" s="24"/>
      <c r="N47" s="23">
        <f t="shared" si="6"/>
        <v>0</v>
      </c>
      <c r="O47" s="23"/>
      <c r="P47" s="62">
        <f t="shared" si="7"/>
        <v>0</v>
      </c>
    </row>
    <row r="48" spans="1:16" ht="20.100000000000001" customHeight="1" x14ac:dyDescent="0.25">
      <c r="A48" s="1">
        <f t="shared" si="2"/>
        <v>33</v>
      </c>
      <c r="B48" s="2"/>
      <c r="C48" s="2" t="s">
        <v>38</v>
      </c>
      <c r="D48" s="2"/>
      <c r="E48" s="106"/>
      <c r="F48" s="106"/>
      <c r="G48" s="106"/>
      <c r="H48" s="106"/>
      <c r="I48" s="106"/>
      <c r="J48" s="108" t="s">
        <v>8</v>
      </c>
      <c r="K48" s="109"/>
      <c r="L48" s="106"/>
      <c r="M48" s="24" t="s">
        <v>8</v>
      </c>
      <c r="N48" s="23">
        <f t="shared" si="6"/>
        <v>0</v>
      </c>
      <c r="O48" s="23"/>
      <c r="P48" s="62">
        <f t="shared" si="7"/>
        <v>0</v>
      </c>
    </row>
    <row r="49" spans="1:16" ht="20.100000000000001" customHeight="1" x14ac:dyDescent="0.25">
      <c r="A49" s="1">
        <f>+A48+1</f>
        <v>34</v>
      </c>
      <c r="B49" s="2"/>
      <c r="C49" s="2" t="s">
        <v>85</v>
      </c>
      <c r="D49" s="2"/>
      <c r="E49" s="106">
        <v>2267000</v>
      </c>
      <c r="F49" s="106">
        <v>0</v>
      </c>
      <c r="G49" s="106">
        <v>16400</v>
      </c>
      <c r="H49" s="106"/>
      <c r="I49" s="106">
        <v>0</v>
      </c>
      <c r="J49" s="108" t="s">
        <v>8</v>
      </c>
      <c r="K49" s="106">
        <v>0</v>
      </c>
      <c r="L49" s="106">
        <v>0</v>
      </c>
      <c r="M49" s="24" t="s">
        <v>8</v>
      </c>
      <c r="N49" s="23">
        <f>SUM(E49:L49)</f>
        <v>2283400</v>
      </c>
      <c r="O49" s="23"/>
      <c r="P49" s="62">
        <f>+N49/$N$51</f>
        <v>7.8420302848123472E-3</v>
      </c>
    </row>
    <row r="50" spans="1:16" x14ac:dyDescent="0.2">
      <c r="A50" s="1">
        <f>+A49+1</f>
        <v>35</v>
      </c>
      <c r="B50" s="2"/>
      <c r="C50" s="2"/>
      <c r="D50" s="2"/>
      <c r="E50" s="23"/>
      <c r="F50" s="23"/>
      <c r="G50" s="23"/>
      <c r="H50" s="23"/>
      <c r="I50" s="23"/>
      <c r="J50" s="24"/>
      <c r="K50" s="23"/>
      <c r="L50" s="23"/>
      <c r="M50" s="24"/>
      <c r="N50" s="23"/>
      <c r="O50" s="23"/>
      <c r="P50" s="23"/>
    </row>
    <row r="51" spans="1:16" ht="20.100000000000001" customHeight="1" x14ac:dyDescent="0.2">
      <c r="A51" s="1">
        <f t="shared" si="2"/>
        <v>36</v>
      </c>
      <c r="B51" s="2"/>
      <c r="C51" s="2" t="s">
        <v>34</v>
      </c>
      <c r="D51" s="2"/>
      <c r="E51" s="22">
        <f>SUM(E36:E50)</f>
        <v>113259300</v>
      </c>
      <c r="F51" s="22">
        <f>SUM(F36:F50)</f>
        <v>10664746</v>
      </c>
      <c r="G51" s="22">
        <f>SUM(G36:G50)</f>
        <v>2708620</v>
      </c>
      <c r="H51" s="22"/>
      <c r="I51" s="22">
        <f>SUM(I36:I50)</f>
        <v>22400060</v>
      </c>
      <c r="J51" s="21"/>
      <c r="K51" s="22">
        <f>SUM(K36:K50)</f>
        <v>35427377</v>
      </c>
      <c r="L51" s="22">
        <f>SUM(L36:L50)</f>
        <v>106714493</v>
      </c>
      <c r="M51" s="21"/>
      <c r="N51" s="22">
        <f>SUM(N36:N50)</f>
        <v>291174596</v>
      </c>
      <c r="O51" s="20"/>
      <c r="P51" s="63">
        <f>SUM(P37:P50)</f>
        <v>1.0000000000000002</v>
      </c>
    </row>
    <row r="52" spans="1:16" x14ac:dyDescent="0.2">
      <c r="A52" s="1">
        <f t="shared" si="2"/>
        <v>37</v>
      </c>
      <c r="B52" s="2"/>
      <c r="C52" s="2"/>
      <c r="D52" s="2"/>
      <c r="E52" s="22"/>
      <c r="F52" s="22"/>
      <c r="G52" s="22"/>
      <c r="H52" s="22"/>
      <c r="I52" s="22"/>
      <c r="J52" s="21"/>
      <c r="K52" s="22"/>
      <c r="L52" s="22"/>
      <c r="M52" s="21"/>
      <c r="N52" s="22"/>
      <c r="O52" s="20"/>
      <c r="P52" s="20"/>
    </row>
    <row r="53" spans="1:16" x14ac:dyDescent="0.2">
      <c r="A53" s="1">
        <f t="shared" si="2"/>
        <v>38</v>
      </c>
      <c r="B53" s="2"/>
      <c r="C53" s="2"/>
      <c r="D53" s="2"/>
      <c r="E53" s="20"/>
      <c r="F53" s="20"/>
      <c r="G53" s="20"/>
      <c r="H53" s="20"/>
      <c r="I53" s="20"/>
      <c r="J53" s="21"/>
      <c r="K53" s="20"/>
      <c r="L53" s="20"/>
      <c r="M53" s="21"/>
      <c r="N53" s="20"/>
      <c r="O53" s="20"/>
      <c r="P53" s="20"/>
    </row>
    <row r="54" spans="1:16" ht="20.100000000000001" customHeight="1" thickBot="1" x14ac:dyDescent="0.25">
      <c r="A54" s="1">
        <f t="shared" si="2"/>
        <v>39</v>
      </c>
      <c r="B54" s="2" t="s">
        <v>2</v>
      </c>
      <c r="C54" s="2"/>
      <c r="D54" s="2"/>
      <c r="E54" s="20">
        <f>(E32-E51)</f>
        <v>0</v>
      </c>
      <c r="F54" s="20">
        <f>(F32-F51)</f>
        <v>0</v>
      </c>
      <c r="G54" s="20">
        <f>(G32-G51)</f>
        <v>0</v>
      </c>
      <c r="H54" s="20"/>
      <c r="I54" s="20">
        <f>(I32-I51)</f>
        <v>-841058</v>
      </c>
      <c r="J54" s="21"/>
      <c r="K54" s="20">
        <f>(K32-K51)</f>
        <v>13259</v>
      </c>
      <c r="L54" s="20">
        <f>(L32-L51)</f>
        <v>0</v>
      </c>
      <c r="M54" s="21"/>
      <c r="N54" s="20">
        <f>(N32-N51)</f>
        <v>-827799</v>
      </c>
      <c r="O54" s="20"/>
      <c r="P54" s="20"/>
    </row>
    <row r="55" spans="1:16" ht="15.75" thickTop="1" x14ac:dyDescent="0.2">
      <c r="A55" s="1">
        <f t="shared" si="2"/>
        <v>40</v>
      </c>
      <c r="B55" s="2"/>
      <c r="C55" s="2"/>
      <c r="D55" s="2"/>
      <c r="E55" s="18"/>
      <c r="F55" s="18"/>
      <c r="G55" s="18"/>
      <c r="H55" s="18"/>
      <c r="I55" s="18"/>
      <c r="J55" s="15"/>
      <c r="K55" s="18"/>
      <c r="L55" s="18"/>
      <c r="M55" s="15"/>
      <c r="N55" s="18"/>
    </row>
    <row r="56" spans="1:16" x14ac:dyDescent="0.2">
      <c r="A56" s="1">
        <f t="shared" si="2"/>
        <v>41</v>
      </c>
      <c r="B56" s="2"/>
      <c r="C56" s="2"/>
      <c r="D56" s="2"/>
      <c r="J56" s="15"/>
      <c r="M56" s="15"/>
    </row>
    <row r="57" spans="1:16" ht="20.100000000000001" customHeight="1" x14ac:dyDescent="0.25">
      <c r="A57" s="1">
        <f t="shared" si="2"/>
        <v>42</v>
      </c>
      <c r="B57" s="2" t="s">
        <v>3</v>
      </c>
      <c r="C57" s="2"/>
      <c r="D57" s="2"/>
      <c r="E57" s="110">
        <v>1117.69</v>
      </c>
      <c r="F57" s="110">
        <v>138.86000000000001</v>
      </c>
      <c r="G57" s="110">
        <f>8.5+3.25+3.65</f>
        <v>15.4</v>
      </c>
      <c r="H57" s="110"/>
      <c r="I57" s="110">
        <v>140.9</v>
      </c>
      <c r="J57" s="110"/>
      <c r="K57" s="110">
        <v>214.94</v>
      </c>
      <c r="L57" s="110">
        <v>171.02</v>
      </c>
      <c r="M57" s="19"/>
      <c r="N57" s="16">
        <f>SUM(E57:L57)</f>
        <v>1798.8100000000004</v>
      </c>
      <c r="O57" s="16"/>
      <c r="P57" s="16"/>
    </row>
    <row r="58" spans="1:16" x14ac:dyDescent="0.2">
      <c r="A58" s="1">
        <f t="shared" si="2"/>
        <v>43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4"/>
      <c r="N58" s="2"/>
      <c r="O58" s="2"/>
      <c r="P58" s="2"/>
    </row>
    <row r="59" spans="1:16" ht="20.100000000000001" customHeight="1" x14ac:dyDescent="0.2">
      <c r="A59" s="1">
        <f t="shared" si="2"/>
        <v>44</v>
      </c>
      <c r="B59" s="2"/>
      <c r="C59" s="2" t="s">
        <v>78</v>
      </c>
      <c r="D59" s="2"/>
      <c r="E59" s="2"/>
      <c r="F59" s="2"/>
      <c r="G59" s="2"/>
      <c r="H59" s="2"/>
      <c r="I59" s="2"/>
      <c r="J59" s="2"/>
      <c r="K59" s="2"/>
      <c r="L59" s="2"/>
      <c r="M59" s="4"/>
      <c r="N59" s="2"/>
      <c r="O59" s="2"/>
      <c r="P59" s="2"/>
    </row>
    <row r="60" spans="1:16" ht="20.100000000000001" customHeight="1" x14ac:dyDescent="0.2">
      <c r="A60" s="1">
        <f t="shared" si="2"/>
        <v>45</v>
      </c>
      <c r="B60" s="2"/>
      <c r="C60" s="2" t="s">
        <v>35</v>
      </c>
      <c r="D60" s="2"/>
      <c r="E60" s="2"/>
      <c r="F60" s="2"/>
      <c r="G60" s="2"/>
      <c r="H60" s="2"/>
      <c r="I60" s="2"/>
      <c r="J60" s="2"/>
      <c r="K60" s="2"/>
      <c r="L60" s="2"/>
      <c r="M60" s="4"/>
      <c r="N60" s="2"/>
      <c r="O60" s="2"/>
      <c r="P60" s="2"/>
    </row>
    <row r="61" spans="1:16" ht="20.100000000000001" customHeight="1" x14ac:dyDescent="0.2">
      <c r="A61" s="1">
        <f t="shared" si="2"/>
        <v>46</v>
      </c>
      <c r="B61" s="2"/>
      <c r="C61" s="2" t="s">
        <v>76</v>
      </c>
      <c r="D61" s="2"/>
      <c r="E61" s="2"/>
      <c r="F61" s="2"/>
      <c r="G61" s="2"/>
      <c r="H61" s="2"/>
      <c r="I61" s="2"/>
      <c r="J61" s="2"/>
      <c r="K61" s="2"/>
      <c r="L61" s="2"/>
      <c r="M61" s="4"/>
      <c r="N61" s="2"/>
      <c r="O61" s="2"/>
      <c r="P61" s="2"/>
    </row>
    <row r="62" spans="1:16" x14ac:dyDescent="0.2">
      <c r="B62" s="3"/>
      <c r="M62" s="15"/>
    </row>
    <row r="63" spans="1:16" x14ac:dyDescent="0.2">
      <c r="M63" s="15"/>
    </row>
    <row r="64" spans="1:16" x14ac:dyDescent="0.2">
      <c r="M64" s="15"/>
    </row>
    <row r="65" spans="13:13" x14ac:dyDescent="0.2">
      <c r="M65" s="15"/>
    </row>
    <row r="66" spans="13:13" x14ac:dyDescent="0.2">
      <c r="M66" s="15"/>
    </row>
    <row r="67" spans="13:13" x14ac:dyDescent="0.2">
      <c r="M67" s="15"/>
    </row>
    <row r="68" spans="13:13" x14ac:dyDescent="0.2">
      <c r="M68" s="15"/>
    </row>
    <row r="69" spans="13:13" x14ac:dyDescent="0.2">
      <c r="M69" s="15"/>
    </row>
    <row r="70" spans="13:13" x14ac:dyDescent="0.2">
      <c r="M70" s="15"/>
    </row>
    <row r="71" spans="13:13" x14ac:dyDescent="0.2">
      <c r="M71" s="15"/>
    </row>
    <row r="72" spans="13:13" x14ac:dyDescent="0.2">
      <c r="M72" s="15"/>
    </row>
    <row r="73" spans="13:13" x14ac:dyDescent="0.2">
      <c r="M73" s="15"/>
    </row>
    <row r="74" spans="13:13" x14ac:dyDescent="0.2">
      <c r="M74" s="15"/>
    </row>
    <row r="75" spans="13:13" x14ac:dyDescent="0.2">
      <c r="M75" s="15"/>
    </row>
    <row r="76" spans="13:13" x14ac:dyDescent="0.2">
      <c r="M76" s="15"/>
    </row>
    <row r="77" spans="13:13" x14ac:dyDescent="0.2">
      <c r="M77" s="15"/>
    </row>
    <row r="78" spans="13:13" x14ac:dyDescent="0.2">
      <c r="M78" s="15"/>
    </row>
    <row r="79" spans="13:13" x14ac:dyDescent="0.2">
      <c r="M79" s="15"/>
    </row>
    <row r="80" spans="13:13" x14ac:dyDescent="0.2">
      <c r="M80" s="15"/>
    </row>
    <row r="81" spans="13:13" x14ac:dyDescent="0.2">
      <c r="M81" s="15"/>
    </row>
    <row r="82" spans="13:13" x14ac:dyDescent="0.2">
      <c r="M82" s="15"/>
    </row>
    <row r="83" spans="13:13" x14ac:dyDescent="0.2">
      <c r="M83" s="15"/>
    </row>
    <row r="84" spans="13:13" x14ac:dyDescent="0.2">
      <c r="M84" s="15"/>
    </row>
    <row r="85" spans="13:13" x14ac:dyDescent="0.2">
      <c r="M85" s="15"/>
    </row>
    <row r="86" spans="13:13" x14ac:dyDescent="0.2">
      <c r="M86" s="15"/>
    </row>
    <row r="87" spans="13:13" x14ac:dyDescent="0.2">
      <c r="M87" s="15"/>
    </row>
    <row r="88" spans="13:13" x14ac:dyDescent="0.2">
      <c r="M88" s="15"/>
    </row>
    <row r="89" spans="13:13" x14ac:dyDescent="0.2">
      <c r="M89" s="15"/>
    </row>
    <row r="90" spans="13:13" x14ac:dyDescent="0.2">
      <c r="M90" s="15"/>
    </row>
    <row r="91" spans="13:13" x14ac:dyDescent="0.2">
      <c r="M91" s="15"/>
    </row>
    <row r="92" spans="13:13" x14ac:dyDescent="0.2">
      <c r="M92" s="15"/>
    </row>
    <row r="93" spans="13:13" x14ac:dyDescent="0.2">
      <c r="M93" s="15"/>
    </row>
    <row r="94" spans="13:13" x14ac:dyDescent="0.2">
      <c r="M94" s="15"/>
    </row>
    <row r="95" spans="13:13" x14ac:dyDescent="0.2">
      <c r="M95" s="15"/>
    </row>
    <row r="96" spans="13:13" x14ac:dyDescent="0.2">
      <c r="M96" s="15"/>
    </row>
    <row r="97" spans="13:13" x14ac:dyDescent="0.2">
      <c r="M97" s="15"/>
    </row>
    <row r="98" spans="13:13" x14ac:dyDescent="0.2">
      <c r="M98" s="15"/>
    </row>
    <row r="99" spans="13:13" x14ac:dyDescent="0.2">
      <c r="M99" s="15"/>
    </row>
    <row r="100" spans="13:13" x14ac:dyDescent="0.2">
      <c r="M100" s="15"/>
    </row>
    <row r="101" spans="13:13" x14ac:dyDescent="0.2">
      <c r="M101" s="15"/>
    </row>
    <row r="102" spans="13:13" x14ac:dyDescent="0.2">
      <c r="M102" s="15"/>
    </row>
    <row r="103" spans="13:13" x14ac:dyDescent="0.2">
      <c r="M103" s="15"/>
    </row>
  </sheetData>
  <mergeCells count="1">
    <mergeCell ref="E8:G8"/>
  </mergeCells>
  <phoneticPr fontId="3" type="noConversion"/>
  <printOptions horizontalCentered="1"/>
  <pageMargins left="0.25" right="0.25" top="0.5" bottom="0.8" header="0" footer="0.42"/>
  <pageSetup scale="61" orientation="portrait" r:id="rId1"/>
  <headerFooter alignWithMargins="0">
    <oddFooter>&amp;L&amp;"Arial,Bold"&amp;18CONSENT AGENDA -BAHR - SECTION II&amp;R&amp;08Last Modified: 9/19/2007 4:29:13 PM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80"/>
  <sheetViews>
    <sheetView tabSelected="1" showOutlineSymbols="0" zoomScaleNormal="100" workbookViewId="0">
      <selection activeCell="A63" sqref="A63:C63"/>
    </sheetView>
  </sheetViews>
  <sheetFormatPr defaultColWidth="9.6640625" defaultRowHeight="15" x14ac:dyDescent="0.2"/>
  <cols>
    <col min="1" max="1" width="2.77734375" style="1" customWidth="1"/>
    <col min="2" max="2" width="1.77734375" style="1" customWidth="1"/>
    <col min="3" max="3" width="28.5546875" style="1" customWidth="1"/>
    <col min="4" max="4" width="0.88671875" style="1" customWidth="1"/>
    <col min="5" max="5" width="12.77734375" style="1" bestFit="1" customWidth="1"/>
    <col min="6" max="7" width="11.77734375" style="1" bestFit="1" customWidth="1"/>
    <col min="8" max="8" width="0.88671875" style="1" customWidth="1"/>
    <col min="9" max="9" width="13" style="1" bestFit="1" customWidth="1"/>
    <col min="10" max="10" width="0.88671875" style="1" customWidth="1"/>
    <col min="11" max="12" width="12.77734375" style="1" bestFit="1" customWidth="1"/>
    <col min="13" max="13" width="3.21875" style="1" bestFit="1" customWidth="1"/>
    <col min="14" max="14" width="12.77734375" style="1" bestFit="1" customWidth="1"/>
    <col min="15" max="15" width="0.88671875" style="1" customWidth="1"/>
    <col min="16" max="16" width="7" style="1" customWidth="1"/>
    <col min="17" max="17" width="21.88671875" style="1" customWidth="1"/>
    <col min="18" max="18" width="11.109375" style="1" bestFit="1" customWidth="1"/>
    <col min="19" max="16384" width="9.6640625" style="1"/>
  </cols>
  <sheetData>
    <row r="2" spans="1:17" ht="23.25" x14ac:dyDescent="0.35">
      <c r="B2" s="79" t="s">
        <v>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ht="23.25" x14ac:dyDescent="0.35">
      <c r="B3" s="79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ht="23.25" x14ac:dyDescent="0.35">
      <c r="B4" s="79" t="str">
        <f>Summary!B4</f>
        <v>Fiscal Year 2010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x14ac:dyDescent="0.2">
      <c r="B5" s="2"/>
      <c r="C5" s="2" t="s">
        <v>8</v>
      </c>
      <c r="D5" s="2"/>
      <c r="E5" s="2"/>
      <c r="F5" s="2"/>
      <c r="G5" s="2"/>
      <c r="H5" s="2"/>
      <c r="I5" s="2"/>
      <c r="J5" s="2"/>
      <c r="K5" s="2"/>
      <c r="L5" s="2"/>
      <c r="M5" s="4"/>
      <c r="N5" s="2"/>
      <c r="O5" s="2"/>
      <c r="P5" s="2"/>
    </row>
    <row r="6" spans="1:17" s="103" customFormat="1" ht="15.75" x14ac:dyDescent="0.25">
      <c r="C6" s="103" t="s">
        <v>8</v>
      </c>
      <c r="D6" s="104"/>
      <c r="E6" s="103" t="s">
        <v>92</v>
      </c>
      <c r="F6" s="103" t="s">
        <v>93</v>
      </c>
      <c r="G6" s="103" t="s">
        <v>94</v>
      </c>
      <c r="I6" s="103" t="s">
        <v>95</v>
      </c>
      <c r="K6" s="103" t="s">
        <v>96</v>
      </c>
      <c r="L6" s="103" t="s">
        <v>97</v>
      </c>
      <c r="N6" s="103" t="s">
        <v>98</v>
      </c>
      <c r="P6" s="103" t="s">
        <v>99</v>
      </c>
    </row>
    <row r="7" spans="1:17" ht="20.100000000000001" customHeight="1" x14ac:dyDescent="0.2">
      <c r="B7" s="2"/>
      <c r="C7" s="2"/>
      <c r="D7" s="2"/>
      <c r="E7" s="5" t="s">
        <v>39</v>
      </c>
      <c r="F7" s="5"/>
      <c r="G7" s="5"/>
      <c r="H7" s="58"/>
      <c r="I7" s="58"/>
      <c r="J7" s="5"/>
      <c r="K7" s="5"/>
      <c r="L7" s="5"/>
      <c r="M7" s="5"/>
      <c r="N7" s="5"/>
      <c r="O7" s="97"/>
      <c r="P7" s="97"/>
    </row>
    <row r="8" spans="1:17" ht="20.100000000000001" customHeight="1" x14ac:dyDescent="0.25">
      <c r="B8" s="2"/>
      <c r="C8" s="2"/>
      <c r="D8" s="2"/>
      <c r="E8" s="126" t="s">
        <v>40</v>
      </c>
      <c r="F8" s="126"/>
      <c r="G8" s="126"/>
      <c r="H8" s="57"/>
      <c r="I8" s="59" t="s">
        <v>64</v>
      </c>
      <c r="J8" s="7"/>
      <c r="K8" s="6" t="s">
        <v>47</v>
      </c>
      <c r="L8" s="6"/>
      <c r="M8" s="7"/>
      <c r="N8" s="8" t="s">
        <v>52</v>
      </c>
      <c r="O8" s="2"/>
      <c r="P8" s="9" t="s">
        <v>65</v>
      </c>
      <c r="Q8" s="94"/>
    </row>
    <row r="9" spans="1:17" ht="28.5" customHeight="1" x14ac:dyDescent="0.2">
      <c r="B9" s="2"/>
      <c r="C9" s="2"/>
      <c r="D9" s="2"/>
      <c r="E9" s="8" t="s">
        <v>41</v>
      </c>
      <c r="F9" s="115" t="s">
        <v>107</v>
      </c>
      <c r="G9" s="8" t="s">
        <v>43</v>
      </c>
      <c r="H9" s="56"/>
      <c r="I9" s="56" t="s">
        <v>45</v>
      </c>
      <c r="J9" s="4"/>
      <c r="K9" s="8" t="s">
        <v>48</v>
      </c>
      <c r="L9" s="8" t="s">
        <v>50</v>
      </c>
      <c r="M9" s="4"/>
      <c r="N9" s="9" t="s">
        <v>53</v>
      </c>
      <c r="O9" s="2"/>
      <c r="P9" s="9" t="s">
        <v>100</v>
      </c>
    </row>
    <row r="10" spans="1:17" ht="20.100000000000001" customHeight="1" x14ac:dyDescent="0.2">
      <c r="B10" s="2"/>
      <c r="C10" s="2"/>
      <c r="D10" s="2"/>
      <c r="E10" s="9" t="s">
        <v>42</v>
      </c>
      <c r="F10" s="9" t="s">
        <v>42</v>
      </c>
      <c r="G10" s="9" t="s">
        <v>44</v>
      </c>
      <c r="H10" s="9"/>
      <c r="I10" s="9" t="s">
        <v>46</v>
      </c>
      <c r="J10" s="4"/>
      <c r="K10" s="9" t="s">
        <v>49</v>
      </c>
      <c r="L10" s="9" t="s">
        <v>51</v>
      </c>
      <c r="M10" s="4"/>
      <c r="N10" s="9" t="s">
        <v>54</v>
      </c>
      <c r="O10" s="2"/>
      <c r="P10" s="9" t="s">
        <v>52</v>
      </c>
    </row>
    <row r="11" spans="1:17" ht="15.75" x14ac:dyDescent="0.25">
      <c r="B11" s="98" t="s">
        <v>90</v>
      </c>
      <c r="C11" s="2"/>
      <c r="D11" s="2"/>
      <c r="E11" s="10"/>
      <c r="F11" s="10"/>
      <c r="G11" s="10"/>
      <c r="H11" s="10"/>
      <c r="I11" s="10"/>
      <c r="J11" s="4"/>
      <c r="K11" s="10"/>
      <c r="L11" s="10"/>
      <c r="M11" s="4"/>
      <c r="N11" s="10"/>
      <c r="O11" s="2"/>
      <c r="P11" s="61"/>
    </row>
    <row r="12" spans="1:17" ht="20.100000000000001" customHeight="1" x14ac:dyDescent="0.2">
      <c r="B12" s="2"/>
      <c r="C12" s="2" t="s">
        <v>9</v>
      </c>
      <c r="D12" s="2"/>
      <c r="E12" s="69"/>
      <c r="F12" s="69"/>
      <c r="G12" s="69"/>
      <c r="H12" s="69"/>
      <c r="I12" s="69"/>
      <c r="J12" s="69"/>
      <c r="K12" s="69"/>
      <c r="L12" s="69"/>
      <c r="M12" s="28"/>
      <c r="N12" s="29"/>
      <c r="O12" s="29"/>
      <c r="P12" s="29"/>
    </row>
    <row r="13" spans="1:17" ht="20.100000000000001" customHeight="1" x14ac:dyDescent="0.2">
      <c r="A13" s="1">
        <v>1</v>
      </c>
      <c r="B13" s="2"/>
      <c r="C13" s="29" t="s">
        <v>10</v>
      </c>
      <c r="D13" s="29"/>
      <c r="E13" s="77">
        <v>92748000</v>
      </c>
      <c r="F13" s="77"/>
      <c r="G13" s="77">
        <f>24989900+1739700+3405200+556500+768600</f>
        <v>31459900</v>
      </c>
      <c r="H13" s="77"/>
      <c r="I13" s="77"/>
      <c r="J13" s="78"/>
      <c r="K13" s="77"/>
      <c r="L13" s="77"/>
      <c r="M13" s="31"/>
      <c r="N13" s="30">
        <f t="shared" ref="N13:N18" si="0">SUM(E13:L13)</f>
        <v>124207900</v>
      </c>
      <c r="O13" s="30"/>
      <c r="P13" s="123">
        <f t="shared" ref="P13:P18" si="1">+N13/$N$32</f>
        <v>0.28059163569323298</v>
      </c>
    </row>
    <row r="14" spans="1:17" ht="20.100000000000001" customHeight="1" x14ac:dyDescent="0.2">
      <c r="A14" s="1">
        <f>+A13+1</f>
        <v>2</v>
      </c>
      <c r="B14" s="2"/>
      <c r="C14" s="2" t="s">
        <v>108</v>
      </c>
      <c r="D14" s="29"/>
      <c r="E14" s="75">
        <v>0</v>
      </c>
      <c r="F14" s="75"/>
      <c r="G14" s="75"/>
      <c r="H14" s="75"/>
      <c r="I14" s="75"/>
      <c r="J14" s="76"/>
      <c r="K14" s="75"/>
      <c r="L14" s="75"/>
      <c r="M14" s="31"/>
      <c r="N14" s="30">
        <f t="shared" si="0"/>
        <v>0</v>
      </c>
      <c r="O14" s="30"/>
      <c r="P14" s="123">
        <f t="shared" si="1"/>
        <v>0</v>
      </c>
    </row>
    <row r="15" spans="1:17" ht="20.100000000000001" customHeight="1" x14ac:dyDescent="0.2">
      <c r="A15" s="1">
        <f>+A14+1</f>
        <v>3</v>
      </c>
      <c r="B15" s="2"/>
      <c r="C15" s="29" t="s">
        <v>11</v>
      </c>
      <c r="D15" s="29"/>
      <c r="E15" s="75">
        <v>6164400</v>
      </c>
      <c r="F15" s="75"/>
      <c r="G15" s="75"/>
      <c r="H15" s="75"/>
      <c r="I15" s="75"/>
      <c r="J15" s="76"/>
      <c r="K15" s="75"/>
      <c r="L15" s="75"/>
      <c r="M15" s="31"/>
      <c r="N15" s="30">
        <f t="shared" si="0"/>
        <v>6164400</v>
      </c>
      <c r="O15" s="30"/>
      <c r="P15" s="123">
        <f t="shared" si="1"/>
        <v>1.3925676861675992E-2</v>
      </c>
    </row>
    <row r="16" spans="1:17" ht="20.100000000000001" customHeight="1" x14ac:dyDescent="0.2">
      <c r="A16" s="1">
        <f t="shared" ref="A16:A62" si="2">+A15+1</f>
        <v>4</v>
      </c>
      <c r="B16" s="2"/>
      <c r="C16" s="29" t="s">
        <v>12</v>
      </c>
      <c r="D16" s="29"/>
      <c r="E16" s="75">
        <f>ROUND(24771883+21049067,-2)-E17-E30-100</f>
        <v>44335500</v>
      </c>
      <c r="F16" s="75"/>
      <c r="G16" s="75"/>
      <c r="H16" s="75"/>
      <c r="I16" s="75"/>
      <c r="J16" s="76"/>
      <c r="K16" s="75"/>
      <c r="L16" s="75"/>
      <c r="M16" s="31"/>
      <c r="N16" s="30">
        <f t="shared" si="0"/>
        <v>44335500</v>
      </c>
      <c r="O16" s="30"/>
      <c r="P16" s="123">
        <f t="shared" si="1"/>
        <v>0.10015603246071572</v>
      </c>
    </row>
    <row r="17" spans="1:16" ht="20.100000000000001" customHeight="1" x14ac:dyDescent="0.2">
      <c r="A17" s="1">
        <f t="shared" ref="A17:A32" si="3">+A16+1</f>
        <v>5</v>
      </c>
      <c r="B17" s="2"/>
      <c r="C17" s="29" t="s">
        <v>109</v>
      </c>
      <c r="D17" s="29"/>
      <c r="E17" s="75">
        <v>1317500</v>
      </c>
      <c r="F17" s="75"/>
      <c r="G17" s="75"/>
      <c r="H17" s="75"/>
      <c r="I17" s="75"/>
      <c r="J17" s="76"/>
      <c r="K17" s="75"/>
      <c r="L17" s="75"/>
      <c r="M17" s="31"/>
      <c r="N17" s="30">
        <f t="shared" si="0"/>
        <v>1317500</v>
      </c>
      <c r="O17" s="30"/>
      <c r="P17" s="123">
        <f t="shared" si="1"/>
        <v>2.9762960329080073E-3</v>
      </c>
    </row>
    <row r="18" spans="1:16" ht="20.100000000000001" customHeight="1" x14ac:dyDescent="0.2">
      <c r="A18" s="1">
        <f t="shared" si="3"/>
        <v>6</v>
      </c>
      <c r="B18" s="2"/>
      <c r="C18" s="69" t="s">
        <v>115</v>
      </c>
      <c r="D18" s="29"/>
      <c r="E18" s="75">
        <v>5320600</v>
      </c>
      <c r="F18" s="75"/>
      <c r="G18" s="75"/>
      <c r="H18" s="75"/>
      <c r="I18" s="75"/>
      <c r="J18" s="76"/>
      <c r="K18" s="75"/>
      <c r="L18" s="75"/>
      <c r="M18" s="31"/>
      <c r="N18" s="30">
        <f t="shared" si="0"/>
        <v>5320600</v>
      </c>
      <c r="O18" s="30"/>
      <c r="P18" s="123">
        <f t="shared" si="1"/>
        <v>1.2019491971681475E-2</v>
      </c>
    </row>
    <row r="19" spans="1:16" x14ac:dyDescent="0.2">
      <c r="A19" s="1">
        <f t="shared" si="3"/>
        <v>7</v>
      </c>
      <c r="B19" s="2"/>
      <c r="C19" s="29"/>
      <c r="D19" s="29"/>
      <c r="E19" s="30"/>
      <c r="F19" s="30"/>
      <c r="G19" s="30"/>
      <c r="H19" s="30"/>
      <c r="I19" s="30"/>
      <c r="J19" s="31"/>
      <c r="K19" s="30"/>
      <c r="L19" s="30"/>
      <c r="M19" s="31"/>
      <c r="N19" s="30"/>
      <c r="O19" s="30"/>
      <c r="P19" s="30"/>
    </row>
    <row r="20" spans="1:16" ht="20.100000000000001" customHeight="1" x14ac:dyDescent="0.2">
      <c r="A20" s="1">
        <f t="shared" si="3"/>
        <v>8</v>
      </c>
      <c r="B20" s="2"/>
      <c r="C20" s="29" t="s">
        <v>13</v>
      </c>
      <c r="D20" s="29"/>
      <c r="E20" s="33">
        <f>SUM(E11:E19)</f>
        <v>149886000</v>
      </c>
      <c r="F20" s="33"/>
      <c r="G20" s="33">
        <f>SUM(G11:G19)</f>
        <v>31459900</v>
      </c>
      <c r="H20" s="33"/>
      <c r="I20" s="33">
        <f>SUM(I11:I19)</f>
        <v>0</v>
      </c>
      <c r="J20" s="31"/>
      <c r="K20" s="33">
        <f>SUM(K11:K19)</f>
        <v>0</v>
      </c>
      <c r="L20" s="33">
        <f>SUM(L11:L19)</f>
        <v>0</v>
      </c>
      <c r="M20" s="31"/>
      <c r="N20" s="33">
        <f>SUM(N11:N19)</f>
        <v>181345900</v>
      </c>
      <c r="O20" s="30"/>
      <c r="P20" s="124">
        <f>+N20/$N$32</f>
        <v>0.40966913302021418</v>
      </c>
    </row>
    <row r="21" spans="1:16" x14ac:dyDescent="0.2">
      <c r="A21" s="1">
        <f t="shared" si="3"/>
        <v>9</v>
      </c>
      <c r="B21" s="2"/>
      <c r="C21" s="29"/>
      <c r="D21" s="29"/>
      <c r="E21" s="33"/>
      <c r="F21" s="33"/>
      <c r="G21" s="33"/>
      <c r="H21" s="33"/>
      <c r="I21" s="33"/>
      <c r="J21" s="31"/>
      <c r="K21" s="33"/>
      <c r="L21" s="33"/>
      <c r="M21" s="31"/>
      <c r="N21" s="33"/>
      <c r="O21" s="30"/>
      <c r="P21" s="30"/>
    </row>
    <row r="22" spans="1:16" ht="20.100000000000001" customHeight="1" x14ac:dyDescent="0.2">
      <c r="A22" s="1">
        <f t="shared" si="3"/>
        <v>10</v>
      </c>
      <c r="B22" s="2"/>
      <c r="C22" s="29" t="s">
        <v>14</v>
      </c>
      <c r="D22" s="29"/>
      <c r="E22" s="75"/>
      <c r="F22" s="75"/>
      <c r="G22" s="75">
        <v>370100</v>
      </c>
      <c r="H22" s="75"/>
      <c r="I22" s="75">
        <f>ROUND(8055807,-2)</f>
        <v>8055800</v>
      </c>
      <c r="J22" s="76"/>
      <c r="K22" s="76">
        <f>7751100+102600</f>
        <v>7853700</v>
      </c>
      <c r="L22" s="75"/>
      <c r="M22" s="31"/>
      <c r="N22" s="30">
        <f t="shared" ref="N22:N30" si="4">SUM(E22:L22)</f>
        <v>16279600</v>
      </c>
      <c r="O22" s="30"/>
      <c r="P22" s="123">
        <f t="shared" ref="P22:P30" si="5">+N22/$N$32</f>
        <v>3.6776401440098062E-2</v>
      </c>
    </row>
    <row r="23" spans="1:16" ht="20.100000000000001" customHeight="1" x14ac:dyDescent="0.2">
      <c r="A23" s="1">
        <f t="shared" si="3"/>
        <v>11</v>
      </c>
      <c r="B23" s="2"/>
      <c r="C23" s="29" t="s">
        <v>15</v>
      </c>
      <c r="D23" s="29"/>
      <c r="E23" s="75"/>
      <c r="F23" s="75"/>
      <c r="G23" s="75"/>
      <c r="H23" s="75"/>
      <c r="I23" s="75"/>
      <c r="J23" s="76"/>
      <c r="K23" s="76"/>
      <c r="L23" s="75">
        <f>ROUND(4883649,-2)+100</f>
        <v>4883700</v>
      </c>
      <c r="M23" s="31"/>
      <c r="N23" s="30">
        <f t="shared" si="4"/>
        <v>4883700</v>
      </c>
      <c r="O23" s="30"/>
      <c r="P23" s="123">
        <f t="shared" si="5"/>
        <v>1.10325138033494E-2</v>
      </c>
    </row>
    <row r="24" spans="1:16" ht="20.100000000000001" customHeight="1" x14ac:dyDescent="0.2">
      <c r="A24" s="1">
        <f t="shared" si="3"/>
        <v>12</v>
      </c>
      <c r="B24" s="2"/>
      <c r="C24" s="29" t="s">
        <v>16</v>
      </c>
      <c r="D24" s="29"/>
      <c r="E24" s="75"/>
      <c r="F24" s="75"/>
      <c r="G24" s="75"/>
      <c r="H24" s="75"/>
      <c r="I24" s="75"/>
      <c r="J24" s="76"/>
      <c r="K24" s="76"/>
      <c r="L24" s="75">
        <f>ROUND(126490155.81,-2)</f>
        <v>126490200</v>
      </c>
      <c r="M24" s="31">
        <v>-2</v>
      </c>
      <c r="N24" s="30">
        <f t="shared" si="4"/>
        <v>126490200</v>
      </c>
      <c r="O24" s="30"/>
      <c r="P24" s="123">
        <f t="shared" si="5"/>
        <v>0.28574746145103636</v>
      </c>
    </row>
    <row r="25" spans="1:16" ht="20.100000000000001" customHeight="1" x14ac:dyDescent="0.2">
      <c r="A25" s="1">
        <f t="shared" si="3"/>
        <v>13</v>
      </c>
      <c r="B25" s="2"/>
      <c r="C25" s="29" t="s">
        <v>17</v>
      </c>
      <c r="D25" s="29"/>
      <c r="E25" s="75"/>
      <c r="F25" s="75"/>
      <c r="G25" s="75"/>
      <c r="H25" s="75"/>
      <c r="I25" s="75"/>
      <c r="J25" s="76"/>
      <c r="K25" s="76">
        <f>ROUND(254124.62+338412.14,-2)</f>
        <v>592500</v>
      </c>
      <c r="L25" s="75">
        <f>ROUND(5080034.47,-2)</f>
        <v>5080000</v>
      </c>
      <c r="M25" s="31"/>
      <c r="N25" s="30">
        <f t="shared" si="4"/>
        <v>5672500</v>
      </c>
      <c r="O25" s="30"/>
      <c r="P25" s="123">
        <f t="shared" si="5"/>
        <v>1.2814451041116259E-2</v>
      </c>
    </row>
    <row r="26" spans="1:16" ht="20.100000000000001" customHeight="1" x14ac:dyDescent="0.2">
      <c r="A26" s="1">
        <f t="shared" si="3"/>
        <v>14</v>
      </c>
      <c r="B26" s="2"/>
      <c r="C26" s="29" t="s">
        <v>18</v>
      </c>
      <c r="D26" s="29"/>
      <c r="E26" s="75"/>
      <c r="F26" s="75"/>
      <c r="G26" s="75"/>
      <c r="H26" s="75"/>
      <c r="I26" s="75">
        <f>ROUND(2171400,-2)</f>
        <v>2171400</v>
      </c>
      <c r="J26" s="76"/>
      <c r="K26" s="76">
        <f>ROUND(704305+5964200+4918920.79+70977.34+5585837.6,-2)</f>
        <v>17244200</v>
      </c>
      <c r="L26" s="75">
        <f>ROUND(4341545.73,-2)</f>
        <v>4341500</v>
      </c>
      <c r="M26" s="31"/>
      <c r="N26" s="30">
        <f t="shared" si="4"/>
        <v>23757100</v>
      </c>
      <c r="O26" s="30"/>
      <c r="P26" s="123">
        <f t="shared" si="5"/>
        <v>5.3668434522503847E-2</v>
      </c>
    </row>
    <row r="27" spans="1:16" ht="20.100000000000001" customHeight="1" x14ac:dyDescent="0.2">
      <c r="A27" s="1">
        <f t="shared" si="3"/>
        <v>15</v>
      </c>
      <c r="B27" s="2"/>
      <c r="C27" s="29" t="s">
        <v>19</v>
      </c>
      <c r="D27" s="29"/>
      <c r="E27" s="75"/>
      <c r="F27" s="75"/>
      <c r="G27" s="75"/>
      <c r="H27" s="75"/>
      <c r="I27" s="75"/>
      <c r="J27" s="76"/>
      <c r="K27" s="76">
        <f>ROUND(23932092+6351431+189900,-2)</f>
        <v>30473400</v>
      </c>
      <c r="L27" s="75"/>
      <c r="M27" s="31"/>
      <c r="N27" s="30">
        <f t="shared" si="4"/>
        <v>30473400</v>
      </c>
      <c r="O27" s="30"/>
      <c r="P27" s="123">
        <f t="shared" si="5"/>
        <v>6.8840880098078844E-2</v>
      </c>
    </row>
    <row r="28" spans="1:16" ht="20.100000000000001" customHeight="1" x14ac:dyDescent="0.2">
      <c r="A28" s="1">
        <f t="shared" si="3"/>
        <v>16</v>
      </c>
      <c r="B28" s="2"/>
      <c r="C28" s="29" t="s">
        <v>20</v>
      </c>
      <c r="D28" s="29"/>
      <c r="E28" s="75"/>
      <c r="F28" s="75"/>
      <c r="G28" s="75"/>
      <c r="H28" s="75"/>
      <c r="I28" s="75">
        <f>ROUND(31086919,-2)</f>
        <v>31086900</v>
      </c>
      <c r="J28" s="76"/>
      <c r="K28" s="76">
        <f>ROUND(3222060+690650,-2)</f>
        <v>3912700</v>
      </c>
      <c r="L28" s="75"/>
      <c r="M28" s="31"/>
      <c r="N28" s="30">
        <f t="shared" si="4"/>
        <v>34999600</v>
      </c>
      <c r="O28" s="30"/>
      <c r="P28" s="123">
        <f t="shared" si="5"/>
        <v>7.9065784161948455E-2</v>
      </c>
    </row>
    <row r="29" spans="1:16" ht="20.100000000000001" customHeight="1" x14ac:dyDescent="0.2">
      <c r="A29" s="1">
        <f t="shared" si="3"/>
        <v>17</v>
      </c>
      <c r="B29" s="2"/>
      <c r="C29" s="29" t="s">
        <v>21</v>
      </c>
      <c r="D29" s="29"/>
      <c r="E29" s="75"/>
      <c r="F29" s="75"/>
      <c r="G29" s="75"/>
      <c r="H29" s="75"/>
      <c r="I29" s="75"/>
      <c r="J29" s="76"/>
      <c r="K29" s="76">
        <v>7150000</v>
      </c>
      <c r="L29" s="75"/>
      <c r="M29" s="31"/>
      <c r="N29" s="30">
        <f t="shared" si="4"/>
        <v>7150000</v>
      </c>
      <c r="O29" s="30"/>
      <c r="P29" s="123">
        <f t="shared" si="5"/>
        <v>1.6152194789595637E-2</v>
      </c>
    </row>
    <row r="30" spans="1:16" ht="20.100000000000001" customHeight="1" x14ac:dyDescent="0.2">
      <c r="A30" s="1">
        <f t="shared" si="3"/>
        <v>18</v>
      </c>
      <c r="B30" s="2"/>
      <c r="C30" s="29" t="s">
        <v>22</v>
      </c>
      <c r="D30" s="29"/>
      <c r="E30" s="75">
        <v>167900</v>
      </c>
      <c r="F30" s="75"/>
      <c r="G30" s="75">
        <v>150000</v>
      </c>
      <c r="H30" s="75"/>
      <c r="I30" s="75">
        <f>ROUND(1621750,-2)</f>
        <v>1621800</v>
      </c>
      <c r="J30" s="76"/>
      <c r="K30" s="76">
        <f>ROUND(2700000+3600000+600000+2550000+102828.98+119756.48,-2)</f>
        <v>9672600</v>
      </c>
      <c r="L30" s="75"/>
      <c r="M30" s="31"/>
      <c r="N30" s="30">
        <f t="shared" si="4"/>
        <v>11612300</v>
      </c>
      <c r="O30" s="30"/>
      <c r="P30" s="123">
        <f t="shared" si="5"/>
        <v>2.6232745672058938E-2</v>
      </c>
    </row>
    <row r="31" spans="1:16" x14ac:dyDescent="0.2">
      <c r="A31" s="1">
        <f t="shared" si="3"/>
        <v>19</v>
      </c>
      <c r="B31" s="2"/>
      <c r="C31" s="29"/>
      <c r="D31" s="29"/>
      <c r="E31" s="30"/>
      <c r="F31" s="30"/>
      <c r="G31" s="30"/>
      <c r="H31" s="30"/>
      <c r="I31" s="30"/>
      <c r="J31" s="31"/>
      <c r="K31" s="30"/>
      <c r="L31" s="30"/>
      <c r="M31" s="31"/>
      <c r="N31" s="30"/>
      <c r="O31" s="30"/>
      <c r="P31" s="30"/>
    </row>
    <row r="32" spans="1:16" ht="20.100000000000001" customHeight="1" x14ac:dyDescent="0.2">
      <c r="A32" s="1">
        <f t="shared" si="3"/>
        <v>20</v>
      </c>
      <c r="B32" s="2"/>
      <c r="C32" s="29" t="s">
        <v>23</v>
      </c>
      <c r="D32" s="29"/>
      <c r="E32" s="33">
        <f>SUM(E20:E31)</f>
        <v>150053900</v>
      </c>
      <c r="F32" s="33"/>
      <c r="G32" s="33">
        <f>SUM(G20:G31)</f>
        <v>31980000</v>
      </c>
      <c r="H32" s="33"/>
      <c r="I32" s="33">
        <f>SUM(I20:I31)</f>
        <v>42935900</v>
      </c>
      <c r="J32" s="31"/>
      <c r="K32" s="33">
        <f>SUM(K20:K31)</f>
        <v>76899100</v>
      </c>
      <c r="L32" s="33">
        <f>SUM(L20:L31)</f>
        <v>140795400</v>
      </c>
      <c r="M32" s="31"/>
      <c r="N32" s="33">
        <f>SUM(N20:N31)</f>
        <v>442664300</v>
      </c>
      <c r="O32" s="30"/>
      <c r="P32" s="124">
        <f>SUM(P13:P31)-P20</f>
        <v>1</v>
      </c>
    </row>
    <row r="33" spans="1:16" ht="15.75" thickBot="1" x14ac:dyDescent="0.25">
      <c r="B33" s="2"/>
      <c r="C33" s="29"/>
      <c r="D33" s="29"/>
      <c r="E33" s="33"/>
      <c r="F33" s="33"/>
      <c r="G33" s="33"/>
      <c r="H33" s="33"/>
      <c r="I33" s="33"/>
      <c r="J33" s="31"/>
      <c r="K33" s="33"/>
      <c r="L33" s="33"/>
      <c r="M33" s="31"/>
      <c r="N33" s="33"/>
      <c r="O33" s="30"/>
      <c r="P33" s="30"/>
    </row>
    <row r="34" spans="1:16" ht="16.5" thickTop="1" thickBot="1" x14ac:dyDescent="0.25">
      <c r="A34" s="99"/>
      <c r="B34" s="100"/>
      <c r="C34" s="100"/>
      <c r="D34" s="101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</row>
    <row r="35" spans="1:16" ht="15.75" thickTop="1" x14ac:dyDescent="0.2">
      <c r="B35" s="2"/>
      <c r="C35" s="29"/>
      <c r="D35" s="29"/>
      <c r="E35" s="30"/>
      <c r="F35" s="30"/>
      <c r="G35" s="30"/>
      <c r="H35" s="30"/>
      <c r="I35" s="30"/>
      <c r="J35" s="31"/>
      <c r="K35" s="30"/>
      <c r="L35" s="30"/>
      <c r="M35" s="31"/>
      <c r="N35" s="30"/>
      <c r="O35" s="30"/>
      <c r="P35" s="30"/>
    </row>
    <row r="36" spans="1:16" ht="15.75" x14ac:dyDescent="0.25">
      <c r="A36" s="1">
        <f>+A32+1</f>
        <v>21</v>
      </c>
      <c r="B36" s="98" t="s">
        <v>91</v>
      </c>
      <c r="C36" s="29"/>
      <c r="D36" s="29"/>
      <c r="E36" s="30"/>
      <c r="F36" s="30"/>
      <c r="G36" s="30"/>
      <c r="H36" s="30"/>
      <c r="I36" s="30"/>
      <c r="J36" s="31"/>
      <c r="K36" s="30"/>
      <c r="L36" s="30"/>
      <c r="M36" s="31"/>
      <c r="N36" s="30"/>
      <c r="O36" s="30"/>
      <c r="P36" s="30"/>
    </row>
    <row r="37" spans="1:16" ht="20.100000000000001" customHeight="1" x14ac:dyDescent="0.2">
      <c r="A37" s="1">
        <f t="shared" si="2"/>
        <v>22</v>
      </c>
      <c r="B37" s="2"/>
      <c r="C37" s="29" t="s">
        <v>24</v>
      </c>
      <c r="D37" s="29"/>
      <c r="E37" s="75">
        <v>64969396</v>
      </c>
      <c r="F37" s="75"/>
      <c r="G37" s="75">
        <f>1739700+3775300</f>
        <v>5515000</v>
      </c>
      <c r="H37" s="75"/>
      <c r="I37" s="75"/>
      <c r="J37" s="76"/>
      <c r="K37" s="76">
        <f>ROUND(19156006,-2)</f>
        <v>19156000</v>
      </c>
      <c r="L37" s="75">
        <f>ROUND(5112401.18,-2)</f>
        <v>5112400</v>
      </c>
      <c r="M37" s="31"/>
      <c r="N37" s="30">
        <f t="shared" ref="N37:N49" si="6">SUM(E37:L37)</f>
        <v>94752796</v>
      </c>
      <c r="O37" s="30"/>
      <c r="P37" s="123">
        <f t="shared" ref="P37:P49" si="7">+N37/$N$51</f>
        <v>0.21428155380863764</v>
      </c>
    </row>
    <row r="38" spans="1:16" ht="20.100000000000001" customHeight="1" x14ac:dyDescent="0.2">
      <c r="A38" s="1">
        <f t="shared" si="2"/>
        <v>23</v>
      </c>
      <c r="B38" s="2"/>
      <c r="C38" s="29" t="s">
        <v>25</v>
      </c>
      <c r="D38" s="29"/>
      <c r="E38" s="75">
        <v>6520820</v>
      </c>
      <c r="F38" s="75"/>
      <c r="G38" s="75">
        <f>17051452-188000-1566214-629720+100000+556500+768600</f>
        <v>16092618</v>
      </c>
      <c r="H38" s="75"/>
      <c r="I38" s="75"/>
      <c r="J38" s="76"/>
      <c r="K38" s="76">
        <f>ROUND(6096122,-2)</f>
        <v>6096100</v>
      </c>
      <c r="L38" s="75">
        <f>ROUND(47715558.56,-2)</f>
        <v>47715600</v>
      </c>
      <c r="M38" s="31"/>
      <c r="N38" s="30">
        <f t="shared" si="6"/>
        <v>76425138</v>
      </c>
      <c r="O38" s="30"/>
      <c r="P38" s="123">
        <f t="shared" si="7"/>
        <v>0.17283392165735728</v>
      </c>
    </row>
    <row r="39" spans="1:16" ht="20.100000000000001" customHeight="1" x14ac:dyDescent="0.2">
      <c r="A39" s="1">
        <f t="shared" si="2"/>
        <v>24</v>
      </c>
      <c r="B39" s="2"/>
      <c r="C39" s="29" t="s">
        <v>26</v>
      </c>
      <c r="D39" s="29"/>
      <c r="E39" s="75">
        <v>642</v>
      </c>
      <c r="F39" s="75"/>
      <c r="G39" s="75">
        <f>13061997-1900-2687715</f>
        <v>10372382</v>
      </c>
      <c r="H39" s="75"/>
      <c r="I39" s="75"/>
      <c r="J39" s="76"/>
      <c r="K39" s="76">
        <f>ROUND(2580757,-2)</f>
        <v>2580800</v>
      </c>
      <c r="L39" s="75">
        <f>ROUND(18472920.75,-2)</f>
        <v>18472900</v>
      </c>
      <c r="M39" s="31"/>
      <c r="N39" s="30">
        <f t="shared" si="6"/>
        <v>31426724</v>
      </c>
      <c r="O39" s="30"/>
      <c r="P39" s="123">
        <f t="shared" si="7"/>
        <v>7.1070908027191126E-2</v>
      </c>
    </row>
    <row r="40" spans="1:16" ht="20.100000000000001" customHeight="1" x14ac:dyDescent="0.2">
      <c r="A40" s="1">
        <f t="shared" si="2"/>
        <v>25</v>
      </c>
      <c r="B40" s="2"/>
      <c r="C40" s="29" t="s">
        <v>27</v>
      </c>
      <c r="D40" s="29"/>
      <c r="E40" s="75">
        <v>7988549</v>
      </c>
      <c r="F40" s="75"/>
      <c r="G40" s="75"/>
      <c r="H40" s="75"/>
      <c r="I40" s="75"/>
      <c r="J40" s="76"/>
      <c r="K40" s="76">
        <f>ROUND(6404788,-2)</f>
        <v>6404800</v>
      </c>
      <c r="L40" s="75"/>
      <c r="M40" s="31"/>
      <c r="N40" s="30">
        <f t="shared" si="6"/>
        <v>14393349</v>
      </c>
      <c r="O40" s="30"/>
      <c r="P40" s="123">
        <f t="shared" si="7"/>
        <v>3.2550271004456698E-2</v>
      </c>
    </row>
    <row r="41" spans="1:16" ht="20.100000000000001" customHeight="1" x14ac:dyDescent="0.2">
      <c r="A41" s="1">
        <f t="shared" si="2"/>
        <v>26</v>
      </c>
      <c r="B41" s="2"/>
      <c r="C41" s="29" t="s">
        <v>28</v>
      </c>
      <c r="D41" s="29"/>
      <c r="E41" s="75">
        <v>7784880</v>
      </c>
      <c r="F41" s="75"/>
      <c r="G41" s="75"/>
      <c r="H41" s="75"/>
      <c r="I41" s="75"/>
      <c r="J41" s="76"/>
      <c r="K41" s="76">
        <f>ROUND(435658,-2)</f>
        <v>435700</v>
      </c>
      <c r="L41" s="75"/>
      <c r="M41" s="31"/>
      <c r="N41" s="30">
        <f t="shared" si="6"/>
        <v>8220580</v>
      </c>
      <c r="O41" s="30"/>
      <c r="P41" s="123">
        <f t="shared" si="7"/>
        <v>1.8590677320046687E-2</v>
      </c>
    </row>
    <row r="42" spans="1:16" ht="20.100000000000001" customHeight="1" x14ac:dyDescent="0.2">
      <c r="A42" s="1">
        <f t="shared" si="2"/>
        <v>27</v>
      </c>
      <c r="B42" s="2"/>
      <c r="C42" s="29" t="s">
        <v>29</v>
      </c>
      <c r="D42" s="29"/>
      <c r="E42" s="75">
        <f>10147801-4047862</f>
        <v>6099939</v>
      </c>
      <c r="F42" s="75"/>
      <c r="G42" s="75"/>
      <c r="H42" s="75"/>
      <c r="I42" s="75"/>
      <c r="J42" s="76"/>
      <c r="K42" s="76">
        <f>ROUND(2547822,-2)</f>
        <v>2547800</v>
      </c>
      <c r="L42" s="75"/>
      <c r="M42" s="31"/>
      <c r="N42" s="30">
        <f t="shared" si="6"/>
        <v>8647739</v>
      </c>
      <c r="O42" s="30"/>
      <c r="P42" s="123">
        <f t="shared" si="7"/>
        <v>1.9556688858569982E-2</v>
      </c>
    </row>
    <row r="43" spans="1:16" ht="20.100000000000001" customHeight="1" x14ac:dyDescent="0.2">
      <c r="A43" s="1">
        <f t="shared" si="2"/>
        <v>28</v>
      </c>
      <c r="B43" s="2"/>
      <c r="C43" s="29" t="s">
        <v>30</v>
      </c>
      <c r="D43" s="29"/>
      <c r="E43" s="75">
        <v>17405662</v>
      </c>
      <c r="F43" s="75"/>
      <c r="G43" s="75"/>
      <c r="H43" s="75"/>
      <c r="I43" s="75"/>
      <c r="J43" s="76"/>
      <c r="K43" s="76">
        <f>ROUND(18848518,-2)</f>
        <v>18848500</v>
      </c>
      <c r="L43" s="75">
        <f>ROUND(309081.49,-2)</f>
        <v>309100</v>
      </c>
      <c r="M43" s="31"/>
      <c r="N43" s="30">
        <f t="shared" si="6"/>
        <v>36563262</v>
      </c>
      <c r="O43" s="30"/>
      <c r="P43" s="123">
        <f t="shared" si="7"/>
        <v>8.2687086021950379E-2</v>
      </c>
    </row>
    <row r="44" spans="1:16" ht="20.100000000000001" customHeight="1" x14ac:dyDescent="0.2">
      <c r="A44" s="1">
        <f t="shared" si="2"/>
        <v>29</v>
      </c>
      <c r="B44" s="2"/>
      <c r="C44" s="29" t="s">
        <v>31</v>
      </c>
      <c r="D44" s="29"/>
      <c r="E44" s="75">
        <v>22099819</v>
      </c>
      <c r="F44" s="75"/>
      <c r="G44" s="75"/>
      <c r="H44" s="75"/>
      <c r="I44" s="75"/>
      <c r="J44" s="76"/>
      <c r="K44" s="76">
        <f>ROUND(4905599,-2)</f>
        <v>4905600</v>
      </c>
      <c r="L44" s="75">
        <f>ROUND(401005.52,-2)</f>
        <v>401000</v>
      </c>
      <c r="M44" s="31"/>
      <c r="N44" s="30">
        <f t="shared" si="6"/>
        <v>27406419</v>
      </c>
      <c r="O44" s="30"/>
      <c r="P44" s="123">
        <f t="shared" si="7"/>
        <v>6.1979068645642593E-2</v>
      </c>
    </row>
    <row r="45" spans="1:16" ht="20.100000000000001" customHeight="1" x14ac:dyDescent="0.2">
      <c r="A45" s="1">
        <f t="shared" si="2"/>
        <v>30</v>
      </c>
      <c r="B45" s="2"/>
      <c r="C45" s="29" t="s">
        <v>32</v>
      </c>
      <c r="D45" s="29"/>
      <c r="E45" s="75">
        <v>4047862</v>
      </c>
      <c r="F45" s="75"/>
      <c r="G45" s="75"/>
      <c r="H45" s="75"/>
      <c r="I45" s="75">
        <f>ROUND(2515047,-2)</f>
        <v>2515000</v>
      </c>
      <c r="J45" s="76"/>
      <c r="K45" s="76">
        <f>ROUND(11022102,-2)</f>
        <v>11022100</v>
      </c>
      <c r="L45" s="75">
        <f>ROUND(68784417.51,-2)</f>
        <v>68784400</v>
      </c>
      <c r="M45" s="31">
        <v>-2</v>
      </c>
      <c r="N45" s="30">
        <f t="shared" si="6"/>
        <v>86369362</v>
      </c>
      <c r="O45" s="30"/>
      <c r="P45" s="123">
        <f t="shared" si="7"/>
        <v>0.19532258542344968</v>
      </c>
    </row>
    <row r="46" spans="1:16" ht="20.100000000000001" customHeight="1" x14ac:dyDescent="0.2">
      <c r="A46" s="1">
        <f t="shared" si="2"/>
        <v>31</v>
      </c>
      <c r="B46" s="2"/>
      <c r="C46" s="29" t="s">
        <v>102</v>
      </c>
      <c r="D46" s="29"/>
      <c r="E46" s="75">
        <v>3136331</v>
      </c>
      <c r="F46" s="75"/>
      <c r="G46" s="75"/>
      <c r="H46" s="75"/>
      <c r="I46" s="75">
        <f>ROUND(40026513,-2)</f>
        <v>40026500</v>
      </c>
      <c r="J46" s="76"/>
      <c r="K46" s="76">
        <f>ROUND(4820051,-2)</f>
        <v>4820100</v>
      </c>
      <c r="L46" s="75"/>
      <c r="M46" s="31"/>
      <c r="N46" s="30">
        <f t="shared" si="6"/>
        <v>47982931</v>
      </c>
      <c r="O46" s="30"/>
      <c r="P46" s="123">
        <f t="shared" si="7"/>
        <v>0.10851243915770725</v>
      </c>
    </row>
    <row r="47" spans="1:16" ht="20.100000000000001" customHeight="1" x14ac:dyDescent="0.2">
      <c r="A47" s="1">
        <f t="shared" si="2"/>
        <v>32</v>
      </c>
      <c r="B47" s="2"/>
      <c r="C47" s="29" t="s">
        <v>33</v>
      </c>
      <c r="D47" s="29"/>
      <c r="E47" s="75"/>
      <c r="F47" s="75"/>
      <c r="G47" s="75"/>
      <c r="H47" s="75"/>
      <c r="I47" s="75"/>
      <c r="J47" s="76"/>
      <c r="K47" s="76"/>
      <c r="L47" s="75"/>
      <c r="M47" s="31"/>
      <c r="N47" s="30">
        <f t="shared" si="6"/>
        <v>0</v>
      </c>
      <c r="O47" s="30"/>
      <c r="P47" s="123">
        <f t="shared" si="7"/>
        <v>0</v>
      </c>
    </row>
    <row r="48" spans="1:16" ht="20.100000000000001" customHeight="1" x14ac:dyDescent="0.2">
      <c r="A48" s="1">
        <f t="shared" si="2"/>
        <v>33</v>
      </c>
      <c r="B48" s="2"/>
      <c r="C48" s="29" t="s">
        <v>55</v>
      </c>
      <c r="D48" s="29"/>
      <c r="E48" s="75"/>
      <c r="F48" s="75"/>
      <c r="G48" s="75"/>
      <c r="H48" s="75"/>
      <c r="I48" s="75"/>
      <c r="J48" s="76"/>
      <c r="K48" s="76"/>
      <c r="L48" s="75"/>
      <c r="M48" s="31"/>
      <c r="N48" s="30"/>
      <c r="O48" s="30"/>
      <c r="P48" s="30"/>
    </row>
    <row r="49" spans="1:16" ht="20.100000000000001" customHeight="1" x14ac:dyDescent="0.2">
      <c r="A49" s="1">
        <f>+A48+1</f>
        <v>34</v>
      </c>
      <c r="B49" s="2"/>
      <c r="C49" s="1" t="s">
        <v>116</v>
      </c>
      <c r="D49" s="29"/>
      <c r="E49" s="75">
        <v>10000000</v>
      </c>
      <c r="F49" s="75"/>
      <c r="G49" s="75"/>
      <c r="H49" s="75"/>
      <c r="I49" s="75"/>
      <c r="J49" s="76"/>
      <c r="K49" s="76"/>
      <c r="L49" s="75"/>
      <c r="M49" s="31"/>
      <c r="N49" s="30">
        <f t="shared" si="6"/>
        <v>10000000</v>
      </c>
      <c r="O49" s="30"/>
      <c r="P49" s="123">
        <f t="shared" si="7"/>
        <v>2.2614800074990678E-2</v>
      </c>
    </row>
    <row r="50" spans="1:16" x14ac:dyDescent="0.2">
      <c r="A50" s="1">
        <f>+A49+1</f>
        <v>35</v>
      </c>
      <c r="B50" s="2"/>
      <c r="C50" s="29"/>
      <c r="D50" s="29"/>
      <c r="E50" s="30"/>
      <c r="F50" s="30"/>
      <c r="G50" s="30"/>
      <c r="H50" s="30"/>
      <c r="I50" s="30"/>
      <c r="J50" s="31"/>
      <c r="K50" s="30"/>
      <c r="L50" s="30"/>
      <c r="M50" s="31"/>
      <c r="N50" s="30"/>
      <c r="O50" s="30"/>
      <c r="P50" s="30"/>
    </row>
    <row r="51" spans="1:16" ht="20.100000000000001" customHeight="1" x14ac:dyDescent="0.2">
      <c r="A51" s="1">
        <f t="shared" si="2"/>
        <v>36</v>
      </c>
      <c r="B51" s="2"/>
      <c r="C51" s="29" t="s">
        <v>34</v>
      </c>
      <c r="D51" s="29"/>
      <c r="E51" s="33">
        <f>SUM(E36:E50)</f>
        <v>150053900</v>
      </c>
      <c r="F51" s="33"/>
      <c r="G51" s="33">
        <f>SUM(G36:G50)</f>
        <v>31980000</v>
      </c>
      <c r="H51" s="33"/>
      <c r="I51" s="33">
        <f>SUM(I36:I50)</f>
        <v>42541500</v>
      </c>
      <c r="J51" s="31"/>
      <c r="K51" s="33">
        <f>SUM(K36:K50)</f>
        <v>76817500</v>
      </c>
      <c r="L51" s="33">
        <f>SUM(L36:L50)</f>
        <v>140795400</v>
      </c>
      <c r="M51" s="31"/>
      <c r="N51" s="33">
        <f>SUM(N36:N50)</f>
        <v>442188300</v>
      </c>
      <c r="O51" s="30"/>
      <c r="P51" s="124">
        <f>SUM(P37:P50)</f>
        <v>1</v>
      </c>
    </row>
    <row r="52" spans="1:16" x14ac:dyDescent="0.2">
      <c r="A52" s="1">
        <f t="shared" si="2"/>
        <v>37</v>
      </c>
      <c r="B52" s="2"/>
      <c r="C52" s="29"/>
      <c r="D52" s="29"/>
      <c r="E52" s="33"/>
      <c r="F52" s="33"/>
      <c r="G52" s="33"/>
      <c r="H52" s="33"/>
      <c r="I52" s="33"/>
      <c r="J52" s="31"/>
      <c r="K52" s="33"/>
      <c r="L52" s="33"/>
      <c r="M52" s="31"/>
      <c r="N52" s="33"/>
      <c r="O52" s="30"/>
      <c r="P52" s="30"/>
    </row>
    <row r="53" spans="1:16" x14ac:dyDescent="0.2">
      <c r="A53" s="1">
        <f t="shared" si="2"/>
        <v>38</v>
      </c>
      <c r="B53" s="2"/>
      <c r="C53" s="29"/>
      <c r="D53" s="29"/>
      <c r="E53" s="30"/>
      <c r="F53" s="30"/>
      <c r="G53" s="30"/>
      <c r="H53" s="30"/>
      <c r="I53" s="30"/>
      <c r="J53" s="31"/>
      <c r="K53" s="30"/>
      <c r="L53" s="30"/>
      <c r="M53" s="31"/>
      <c r="N53" s="30"/>
      <c r="O53" s="30"/>
      <c r="P53" s="30"/>
    </row>
    <row r="54" spans="1:16" ht="20.100000000000001" customHeight="1" thickBot="1" x14ac:dyDescent="0.25">
      <c r="A54" s="1">
        <f t="shared" si="2"/>
        <v>39</v>
      </c>
      <c r="B54" s="2" t="s">
        <v>2</v>
      </c>
      <c r="C54" s="29"/>
      <c r="D54" s="29"/>
      <c r="E54" s="30">
        <f>(E32-E51)</f>
        <v>0</v>
      </c>
      <c r="F54" s="30"/>
      <c r="G54" s="30">
        <f>(G32-G51)</f>
        <v>0</v>
      </c>
      <c r="H54" s="30"/>
      <c r="I54" s="30">
        <f>(I32-I51)</f>
        <v>394400</v>
      </c>
      <c r="J54" s="31"/>
      <c r="K54" s="30">
        <f>(K32-K51)</f>
        <v>81600</v>
      </c>
      <c r="L54" s="30">
        <f>(L32-L51)</f>
        <v>0</v>
      </c>
      <c r="M54" s="31"/>
      <c r="N54" s="30">
        <f>(N32-N51)</f>
        <v>476000</v>
      </c>
      <c r="O54" s="30"/>
      <c r="P54" s="30"/>
    </row>
    <row r="55" spans="1:16" ht="15.75" thickTop="1" x14ac:dyDescent="0.2">
      <c r="A55" s="1">
        <f t="shared" si="2"/>
        <v>40</v>
      </c>
      <c r="B55" s="2"/>
      <c r="C55" s="29"/>
      <c r="D55" s="29"/>
      <c r="E55" s="34"/>
      <c r="F55" s="34"/>
      <c r="G55" s="34"/>
      <c r="H55" s="34"/>
      <c r="I55" s="34"/>
      <c r="J55" s="31"/>
      <c r="K55" s="125">
        <v>-4</v>
      </c>
      <c r="L55" s="34"/>
      <c r="M55" s="31"/>
      <c r="N55" s="34"/>
      <c r="O55" s="30"/>
      <c r="P55" s="30"/>
    </row>
    <row r="56" spans="1:16" x14ac:dyDescent="0.2">
      <c r="A56" s="1">
        <f t="shared" si="2"/>
        <v>41</v>
      </c>
      <c r="B56" s="2"/>
      <c r="C56" s="29"/>
      <c r="D56" s="29"/>
      <c r="E56" s="35"/>
      <c r="F56" s="35"/>
      <c r="G56" s="35"/>
      <c r="H56" s="35"/>
      <c r="I56" s="35"/>
      <c r="J56" s="32"/>
      <c r="K56" s="35"/>
      <c r="L56" s="35"/>
      <c r="M56" s="32"/>
      <c r="N56" s="35"/>
      <c r="O56" s="35"/>
      <c r="P56" s="35"/>
    </row>
    <row r="57" spans="1:16" ht="20.100000000000001" customHeight="1" x14ac:dyDescent="0.2">
      <c r="A57" s="1">
        <f t="shared" si="2"/>
        <v>42</v>
      </c>
      <c r="B57" s="2" t="s">
        <v>3</v>
      </c>
      <c r="C57" s="29"/>
      <c r="D57" s="29"/>
      <c r="E57" s="111">
        <v>1187.21</v>
      </c>
      <c r="F57" s="111"/>
      <c r="G57" s="111">
        <f>353.7-2.23-57.37+6.38+6.56+4.38+9.78</f>
        <v>321.19999999999993</v>
      </c>
      <c r="H57" s="111"/>
      <c r="I57" s="111">
        <v>133.62</v>
      </c>
      <c r="J57" s="111"/>
      <c r="K57" s="111">
        <v>324.49</v>
      </c>
      <c r="L57" s="111">
        <f>7.27+57.37</f>
        <v>64.64</v>
      </c>
      <c r="M57" s="37"/>
      <c r="N57" s="36">
        <f>SUM(E57:L57)</f>
        <v>2031.1599999999999</v>
      </c>
      <c r="O57" s="36"/>
      <c r="P57" s="36"/>
    </row>
    <row r="58" spans="1:16" x14ac:dyDescent="0.2">
      <c r="A58" s="1">
        <f t="shared" si="2"/>
        <v>43</v>
      </c>
      <c r="B58" s="2"/>
      <c r="C58" s="29"/>
      <c r="D58" s="29"/>
      <c r="E58" s="35"/>
      <c r="F58" s="35"/>
      <c r="G58" s="35"/>
      <c r="H58" s="35"/>
      <c r="I58" s="35"/>
      <c r="J58" s="35"/>
      <c r="K58" s="35"/>
      <c r="L58" s="35"/>
      <c r="M58" s="32"/>
      <c r="N58" s="35"/>
      <c r="O58" s="35"/>
      <c r="P58" s="35"/>
    </row>
    <row r="59" spans="1:16" ht="20.100000000000001" customHeight="1" x14ac:dyDescent="0.2">
      <c r="A59" s="1">
        <f t="shared" si="2"/>
        <v>44</v>
      </c>
      <c r="B59" s="2"/>
      <c r="C59" s="35" t="s">
        <v>61</v>
      </c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</row>
    <row r="60" spans="1:16" ht="20.100000000000001" customHeight="1" x14ac:dyDescent="0.2">
      <c r="A60" s="1">
        <f t="shared" si="2"/>
        <v>45</v>
      </c>
      <c r="B60" s="2"/>
      <c r="C60" s="35" t="s">
        <v>62</v>
      </c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</row>
    <row r="61" spans="1:16" ht="20.100000000000001" customHeight="1" x14ac:dyDescent="0.2">
      <c r="A61" s="1">
        <f t="shared" si="2"/>
        <v>46</v>
      </c>
      <c r="B61" s="2"/>
      <c r="C61" s="35" t="s">
        <v>63</v>
      </c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1:16" ht="20.100000000000001" customHeight="1" x14ac:dyDescent="0.2">
      <c r="A62" s="1">
        <f t="shared" si="2"/>
        <v>47</v>
      </c>
      <c r="B62" s="2"/>
      <c r="C62" s="35" t="s">
        <v>101</v>
      </c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</row>
    <row r="63" spans="1:16" ht="20.100000000000001" customHeight="1" x14ac:dyDescent="0.2">
      <c r="B63" s="3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8"/>
      <c r="N63" s="69"/>
      <c r="O63" s="69"/>
      <c r="P63" s="69"/>
    </row>
    <row r="64" spans="1:16" x14ac:dyDescent="0.2">
      <c r="M64" s="15"/>
    </row>
    <row r="65" spans="13:13" x14ac:dyDescent="0.2">
      <c r="M65" s="15"/>
    </row>
    <row r="66" spans="13:13" x14ac:dyDescent="0.2">
      <c r="M66" s="15"/>
    </row>
    <row r="67" spans="13:13" x14ac:dyDescent="0.2">
      <c r="M67" s="15"/>
    </row>
    <row r="68" spans="13:13" x14ac:dyDescent="0.2">
      <c r="M68" s="15"/>
    </row>
    <row r="69" spans="13:13" x14ac:dyDescent="0.2">
      <c r="M69" s="15"/>
    </row>
    <row r="70" spans="13:13" x14ac:dyDescent="0.2">
      <c r="M70" s="15"/>
    </row>
    <row r="71" spans="13:13" x14ac:dyDescent="0.2">
      <c r="M71" s="15"/>
    </row>
    <row r="72" spans="13:13" x14ac:dyDescent="0.2">
      <c r="M72" s="15"/>
    </row>
    <row r="73" spans="13:13" x14ac:dyDescent="0.2">
      <c r="M73" s="15"/>
    </row>
    <row r="74" spans="13:13" x14ac:dyDescent="0.2">
      <c r="M74" s="15"/>
    </row>
    <row r="75" spans="13:13" x14ac:dyDescent="0.2">
      <c r="M75" s="15"/>
    </row>
    <row r="76" spans="13:13" x14ac:dyDescent="0.2">
      <c r="M76" s="15"/>
    </row>
    <row r="77" spans="13:13" x14ac:dyDescent="0.2">
      <c r="M77" s="15"/>
    </row>
    <row r="78" spans="13:13" x14ac:dyDescent="0.2">
      <c r="M78" s="15"/>
    </row>
    <row r="79" spans="13:13" x14ac:dyDescent="0.2">
      <c r="M79" s="15"/>
    </row>
    <row r="80" spans="13:13" x14ac:dyDescent="0.2">
      <c r="M80" s="15"/>
    </row>
  </sheetData>
  <mergeCells count="1">
    <mergeCell ref="E8:G8"/>
  </mergeCells>
  <phoneticPr fontId="3" type="noConversion"/>
  <printOptions horizontalCentered="1"/>
  <pageMargins left="0.25" right="0.25" top="0.5" bottom="0.8" header="0" footer="0.42"/>
  <pageSetup scale="60" orientation="portrait" r:id="rId1"/>
  <headerFooter alignWithMargins="0">
    <oddFooter>&amp;L&amp;"Arial,Bold"&amp;18CONSENT AGENDA -BAHR - SECTION II&amp;R&amp;08Last Modified: 9/19/2007 4:29:13 PM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24"/>
  <sheetViews>
    <sheetView showOutlineSymbols="0" view="pageBreakPreview" zoomScale="60" zoomScaleNormal="75" workbookViewId="0"/>
  </sheetViews>
  <sheetFormatPr defaultColWidth="9.6640625" defaultRowHeight="15" x14ac:dyDescent="0.2"/>
  <cols>
    <col min="1" max="1" width="2.77734375" style="1" customWidth="1"/>
    <col min="2" max="2" width="2.6640625" style="1" customWidth="1"/>
    <col min="3" max="3" width="24.21875" style="1" customWidth="1"/>
    <col min="4" max="4" width="0.88671875" style="1" customWidth="1"/>
    <col min="5" max="5" width="12.77734375" style="1" bestFit="1" customWidth="1"/>
    <col min="6" max="7" width="11.77734375" style="1" bestFit="1" customWidth="1"/>
    <col min="8" max="8" width="0.88671875" style="1" customWidth="1"/>
    <col min="9" max="9" width="13" style="1" bestFit="1" customWidth="1"/>
    <col min="10" max="10" width="0.88671875" style="1" customWidth="1"/>
    <col min="11" max="12" width="12.77734375" style="1" bestFit="1" customWidth="1"/>
    <col min="13" max="13" width="0.88671875" style="1" customWidth="1"/>
    <col min="14" max="14" width="12.77734375" style="1" bestFit="1" customWidth="1"/>
    <col min="15" max="15" width="0.88671875" style="1" customWidth="1"/>
    <col min="16" max="16" width="7" style="1" customWidth="1"/>
    <col min="17" max="17" width="21.88671875" style="1" customWidth="1"/>
    <col min="18" max="18" width="11.109375" style="1" bestFit="1" customWidth="1"/>
    <col min="19" max="16384" width="9.6640625" style="1"/>
  </cols>
  <sheetData>
    <row r="2" spans="1:17" ht="23.25" x14ac:dyDescent="0.35">
      <c r="B2" s="79" t="s">
        <v>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ht="23.25" x14ac:dyDescent="0.35">
      <c r="B3" s="79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ht="23.25" x14ac:dyDescent="0.35">
      <c r="B4" s="79" t="str">
        <f>Summary!B4</f>
        <v>Fiscal Year 2010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x14ac:dyDescent="0.2">
      <c r="B5" s="2"/>
      <c r="C5" s="2" t="s">
        <v>8</v>
      </c>
      <c r="D5" s="2"/>
      <c r="E5" s="2"/>
      <c r="F5" s="2"/>
      <c r="G5" s="2"/>
      <c r="H5" s="2"/>
      <c r="I5" s="2"/>
      <c r="J5" s="2"/>
      <c r="K5" s="2"/>
      <c r="L5" s="2"/>
      <c r="M5" s="4"/>
      <c r="N5" s="2"/>
      <c r="O5" s="2"/>
      <c r="P5" s="2"/>
    </row>
    <row r="6" spans="1:17" s="103" customFormat="1" ht="15.75" x14ac:dyDescent="0.25">
      <c r="C6" s="103" t="s">
        <v>8</v>
      </c>
      <c r="D6" s="104"/>
      <c r="E6" s="103" t="s">
        <v>92</v>
      </c>
      <c r="F6" s="103" t="s">
        <v>93</v>
      </c>
      <c r="G6" s="103" t="s">
        <v>94</v>
      </c>
      <c r="I6" s="103" t="s">
        <v>95</v>
      </c>
      <c r="K6" s="103" t="s">
        <v>96</v>
      </c>
      <c r="L6" s="103" t="s">
        <v>97</v>
      </c>
      <c r="N6" s="103" t="s">
        <v>98</v>
      </c>
      <c r="P6" s="103" t="s">
        <v>99</v>
      </c>
    </row>
    <row r="7" spans="1:17" x14ac:dyDescent="0.2">
      <c r="B7" s="2"/>
      <c r="C7" s="2"/>
      <c r="D7" s="2"/>
      <c r="E7" s="5" t="s">
        <v>39</v>
      </c>
      <c r="F7" s="5"/>
      <c r="G7" s="5"/>
      <c r="H7" s="58"/>
      <c r="I7" s="58"/>
      <c r="J7" s="5"/>
      <c r="K7" s="5"/>
      <c r="L7" s="5"/>
      <c r="M7" s="5"/>
      <c r="N7" s="5"/>
      <c r="O7" s="97"/>
      <c r="P7" s="97"/>
    </row>
    <row r="8" spans="1:17" ht="20.100000000000001" customHeight="1" x14ac:dyDescent="0.25">
      <c r="B8" s="2"/>
      <c r="C8" s="2"/>
      <c r="D8" s="2"/>
      <c r="E8" s="126" t="s">
        <v>40</v>
      </c>
      <c r="F8" s="126"/>
      <c r="G8" s="126"/>
      <c r="H8" s="57"/>
      <c r="I8" s="59" t="s">
        <v>64</v>
      </c>
      <c r="J8" s="7"/>
      <c r="K8" s="6" t="s">
        <v>47</v>
      </c>
      <c r="L8" s="6"/>
      <c r="M8" s="7"/>
      <c r="N8" s="8" t="s">
        <v>52</v>
      </c>
      <c r="O8" s="2"/>
      <c r="P8" s="9" t="s">
        <v>65</v>
      </c>
      <c r="Q8" s="94"/>
    </row>
    <row r="9" spans="1:17" ht="28.5" customHeight="1" x14ac:dyDescent="0.2">
      <c r="B9" s="2"/>
      <c r="C9" s="2"/>
      <c r="D9" s="2"/>
      <c r="E9" s="8" t="s">
        <v>41</v>
      </c>
      <c r="F9" s="115" t="s">
        <v>107</v>
      </c>
      <c r="G9" s="8" t="s">
        <v>43</v>
      </c>
      <c r="H9" s="56"/>
      <c r="I9" s="56" t="s">
        <v>45</v>
      </c>
      <c r="J9" s="4"/>
      <c r="K9" s="8" t="s">
        <v>48</v>
      </c>
      <c r="L9" s="8" t="s">
        <v>50</v>
      </c>
      <c r="M9" s="4"/>
      <c r="N9" s="9" t="s">
        <v>53</v>
      </c>
      <c r="O9" s="2"/>
      <c r="P9" s="9" t="s">
        <v>100</v>
      </c>
    </row>
    <row r="10" spans="1:17" ht="20.100000000000001" customHeight="1" x14ac:dyDescent="0.2">
      <c r="B10" s="2"/>
      <c r="C10" s="2"/>
      <c r="D10" s="2"/>
      <c r="E10" s="9" t="s">
        <v>42</v>
      </c>
      <c r="F10" s="9" t="s">
        <v>42</v>
      </c>
      <c r="G10" s="9" t="s">
        <v>44</v>
      </c>
      <c r="H10" s="9"/>
      <c r="I10" s="9" t="s">
        <v>46</v>
      </c>
      <c r="J10" s="4"/>
      <c r="K10" s="9" t="s">
        <v>49</v>
      </c>
      <c r="L10" s="9" t="s">
        <v>51</v>
      </c>
      <c r="M10" s="4"/>
      <c r="N10" s="9" t="s">
        <v>54</v>
      </c>
      <c r="O10" s="2"/>
      <c r="P10" s="9" t="s">
        <v>52</v>
      </c>
    </row>
    <row r="11" spans="1:17" ht="15.75" x14ac:dyDescent="0.25">
      <c r="B11" s="98" t="s">
        <v>90</v>
      </c>
      <c r="C11" s="2"/>
      <c r="D11" s="2"/>
      <c r="E11" s="10"/>
      <c r="F11" s="10"/>
      <c r="G11" s="10"/>
      <c r="H11" s="10"/>
      <c r="I11" s="10"/>
      <c r="J11" s="4"/>
      <c r="K11" s="10"/>
      <c r="L11" s="10"/>
      <c r="M11" s="4"/>
      <c r="N11" s="10"/>
      <c r="O11" s="2"/>
      <c r="P11" s="61"/>
    </row>
    <row r="12" spans="1:17" ht="20.100000000000001" customHeight="1" x14ac:dyDescent="0.2">
      <c r="B12" s="2"/>
      <c r="C12" s="2" t="s">
        <v>9</v>
      </c>
      <c r="D12" s="2"/>
      <c r="E12" s="2"/>
      <c r="F12" s="2"/>
      <c r="G12" s="2"/>
      <c r="H12" s="2"/>
      <c r="I12" s="2"/>
      <c r="J12" s="4"/>
      <c r="K12" s="2"/>
      <c r="L12" s="2"/>
      <c r="M12" s="4"/>
      <c r="N12" s="2"/>
      <c r="O12" s="2"/>
      <c r="P12" s="2"/>
    </row>
    <row r="13" spans="1:17" ht="20.100000000000001" customHeight="1" x14ac:dyDescent="0.2">
      <c r="A13" s="1">
        <v>1</v>
      </c>
      <c r="B13" s="2"/>
      <c r="C13" s="2" t="s">
        <v>10</v>
      </c>
      <c r="D13" s="2"/>
      <c r="E13" s="116">
        <f>15101600+951200</f>
        <v>16052800</v>
      </c>
      <c r="F13" s="116">
        <f>4152467+69167</f>
        <v>4221634</v>
      </c>
      <c r="G13" s="70"/>
      <c r="H13" s="70"/>
      <c r="I13" s="70"/>
      <c r="J13" s="70"/>
      <c r="K13" s="70"/>
      <c r="L13" s="70"/>
      <c r="M13" s="47"/>
      <c r="N13" s="47">
        <f t="shared" ref="N13:N18" si="0">SUM(E13:L13)</f>
        <v>20274434</v>
      </c>
      <c r="O13" s="47"/>
      <c r="P13" s="62">
        <f t="shared" ref="P13:P18" si="1">+N13/$N$32</f>
        <v>0.43700669538813042</v>
      </c>
    </row>
    <row r="14" spans="1:17" ht="20.100000000000001" customHeight="1" x14ac:dyDescent="0.2">
      <c r="A14" s="1">
        <f>+A13+1</f>
        <v>2</v>
      </c>
      <c r="B14" s="2"/>
      <c r="C14" s="2" t="s">
        <v>108</v>
      </c>
      <c r="D14" s="2"/>
      <c r="E14" s="40"/>
      <c r="F14" s="40"/>
      <c r="G14" s="71"/>
      <c r="H14" s="71"/>
      <c r="I14" s="71"/>
      <c r="J14" s="71"/>
      <c r="K14" s="71"/>
      <c r="L14" s="71"/>
      <c r="M14" s="51"/>
      <c r="N14" s="51">
        <f t="shared" si="0"/>
        <v>0</v>
      </c>
      <c r="O14" s="51"/>
      <c r="P14" s="62">
        <f t="shared" si="1"/>
        <v>0</v>
      </c>
    </row>
    <row r="15" spans="1:17" ht="20.100000000000001" customHeight="1" x14ac:dyDescent="0.2">
      <c r="A15" s="1">
        <f>+A14+1</f>
        <v>3</v>
      </c>
      <c r="B15" s="2"/>
      <c r="C15" s="2" t="s">
        <v>11</v>
      </c>
      <c r="D15" s="2"/>
      <c r="E15" s="40">
        <v>1267000</v>
      </c>
      <c r="F15" s="40"/>
      <c r="G15" s="71"/>
      <c r="H15" s="71"/>
      <c r="I15" s="71"/>
      <c r="J15" s="71"/>
      <c r="K15" s="71"/>
      <c r="L15" s="71"/>
      <c r="M15" s="51"/>
      <c r="N15" s="51">
        <f t="shared" si="0"/>
        <v>1267000</v>
      </c>
      <c r="O15" s="51"/>
      <c r="P15" s="62">
        <f t="shared" si="1"/>
        <v>2.7309639472883004E-2</v>
      </c>
    </row>
    <row r="16" spans="1:17" ht="20.100000000000001" customHeight="1" x14ac:dyDescent="0.2">
      <c r="A16" s="1">
        <f t="shared" ref="A16:A61" si="2">+A15+1</f>
        <v>4</v>
      </c>
      <c r="B16" s="2"/>
      <c r="C16" s="2" t="s">
        <v>12</v>
      </c>
      <c r="D16" s="2"/>
      <c r="E16" s="40">
        <v>8533800</v>
      </c>
      <c r="F16" s="40"/>
      <c r="G16" s="71"/>
      <c r="H16" s="71"/>
      <c r="I16" s="71"/>
      <c r="J16" s="71"/>
      <c r="K16" s="71"/>
      <c r="L16" s="71"/>
      <c r="M16" s="51"/>
      <c r="N16" s="51">
        <f t="shared" si="0"/>
        <v>8533800</v>
      </c>
      <c r="O16" s="51"/>
      <c r="P16" s="62">
        <f t="shared" si="1"/>
        <v>0.1839423846359029</v>
      </c>
    </row>
    <row r="17" spans="1:16" ht="20.100000000000001" customHeight="1" x14ac:dyDescent="0.2">
      <c r="A17" s="1">
        <f t="shared" ref="A17:A32" si="3">+A16+1</f>
        <v>5</v>
      </c>
      <c r="B17" s="2"/>
      <c r="C17" s="29" t="s">
        <v>109</v>
      </c>
      <c r="D17" s="2"/>
      <c r="E17" s="74"/>
      <c r="F17" s="74"/>
      <c r="G17" s="71"/>
      <c r="H17" s="71"/>
      <c r="I17" s="71"/>
      <c r="J17" s="71"/>
      <c r="K17" s="71"/>
      <c r="L17" s="71"/>
      <c r="M17" s="51"/>
      <c r="N17" s="51">
        <f t="shared" si="0"/>
        <v>0</v>
      </c>
      <c r="O17" s="51"/>
      <c r="P17" s="62">
        <f t="shared" si="1"/>
        <v>0</v>
      </c>
    </row>
    <row r="18" spans="1:16" ht="20.100000000000001" customHeight="1" x14ac:dyDescent="0.2">
      <c r="A18" s="1">
        <f t="shared" si="3"/>
        <v>6</v>
      </c>
      <c r="B18" s="2"/>
      <c r="C18" s="69" t="s">
        <v>115</v>
      </c>
      <c r="D18" s="2"/>
      <c r="E18" s="74"/>
      <c r="F18" s="74"/>
      <c r="G18" s="71"/>
      <c r="H18" s="71"/>
      <c r="I18" s="71"/>
      <c r="J18" s="71"/>
      <c r="K18" s="71"/>
      <c r="L18" s="71"/>
      <c r="M18" s="51"/>
      <c r="N18" s="51">
        <f t="shared" si="0"/>
        <v>0</v>
      </c>
      <c r="O18" s="51"/>
      <c r="P18" s="62">
        <f t="shared" si="1"/>
        <v>0</v>
      </c>
    </row>
    <row r="19" spans="1:16" x14ac:dyDescent="0.2">
      <c r="A19" s="1">
        <f t="shared" si="3"/>
        <v>7</v>
      </c>
      <c r="B19" s="2"/>
      <c r="C19" s="2"/>
      <c r="D19" s="2"/>
      <c r="E19" s="50"/>
      <c r="F19" s="50"/>
      <c r="G19" s="50"/>
      <c r="H19" s="50"/>
      <c r="I19" s="51"/>
      <c r="J19" s="51"/>
      <c r="K19" s="51"/>
      <c r="L19" s="51"/>
      <c r="M19" s="51"/>
      <c r="N19" s="51"/>
      <c r="O19" s="51"/>
      <c r="P19" s="51"/>
    </row>
    <row r="20" spans="1:16" ht="20.100000000000001" customHeight="1" x14ac:dyDescent="0.2">
      <c r="A20" s="1">
        <f t="shared" si="3"/>
        <v>8</v>
      </c>
      <c r="B20" s="2"/>
      <c r="C20" s="2" t="s">
        <v>13</v>
      </c>
      <c r="D20" s="2"/>
      <c r="E20" s="48">
        <f>SUM(E13:E19)</f>
        <v>25853600</v>
      </c>
      <c r="F20" s="48">
        <f>SUM(F13:F19)</f>
        <v>4221634</v>
      </c>
      <c r="G20" s="48">
        <f>SUM(G13:G19)</f>
        <v>0</v>
      </c>
      <c r="H20" s="48"/>
      <c r="I20" s="48">
        <f>SUM(I13:I19)</f>
        <v>0</v>
      </c>
      <c r="J20" s="47"/>
      <c r="K20" s="48">
        <f>SUM(K13:K19)</f>
        <v>0</v>
      </c>
      <c r="L20" s="48">
        <f>SUM(L13:L19)</f>
        <v>0</v>
      </c>
      <c r="M20" s="47"/>
      <c r="N20" s="49">
        <f>SUM(N13:N19)</f>
        <v>30075234</v>
      </c>
      <c r="O20" s="47"/>
      <c r="P20" s="63">
        <f>+N20/$N$32</f>
        <v>0.64825871949691638</v>
      </c>
    </row>
    <row r="21" spans="1:16" x14ac:dyDescent="0.2">
      <c r="A21" s="1">
        <f t="shared" si="3"/>
        <v>9</v>
      </c>
      <c r="B21" s="2"/>
      <c r="C21" s="2"/>
      <c r="D21" s="2"/>
      <c r="E21" s="39"/>
      <c r="F21" s="39"/>
      <c r="G21" s="39"/>
      <c r="H21" s="39"/>
      <c r="I21" s="43"/>
      <c r="J21" s="42"/>
      <c r="K21" s="43"/>
      <c r="L21" s="43"/>
      <c r="M21" s="42"/>
      <c r="N21" s="43"/>
      <c r="O21" s="42"/>
      <c r="P21" s="42"/>
    </row>
    <row r="22" spans="1:16" ht="20.100000000000001" customHeight="1" x14ac:dyDescent="0.2">
      <c r="A22" s="1">
        <f t="shared" si="3"/>
        <v>10</v>
      </c>
      <c r="B22" s="2"/>
      <c r="C22" s="2" t="s">
        <v>14</v>
      </c>
      <c r="D22" s="2"/>
      <c r="E22" s="52"/>
      <c r="F22" s="52"/>
      <c r="G22" s="52"/>
      <c r="H22" s="52"/>
      <c r="I22" s="40">
        <f>ROUND((85000+700000+285000+189700+90250+16000),-2)</f>
        <v>1366000</v>
      </c>
      <c r="J22" s="40"/>
      <c r="K22" s="117">
        <v>3650000</v>
      </c>
      <c r="L22" s="117"/>
      <c r="M22" s="47"/>
      <c r="N22" s="51">
        <f t="shared" ref="N22:N30" si="4">SUM(E22:L22)</f>
        <v>5016000</v>
      </c>
      <c r="O22" s="47"/>
      <c r="P22" s="62">
        <f t="shared" ref="P22:P30" si="5">+N22/$N$32</f>
        <v>0.10811772028096381</v>
      </c>
    </row>
    <row r="23" spans="1:16" ht="20.100000000000001" customHeight="1" x14ac:dyDescent="0.2">
      <c r="A23" s="1">
        <f t="shared" si="3"/>
        <v>11</v>
      </c>
      <c r="B23" s="2"/>
      <c r="C23" s="2" t="s">
        <v>15</v>
      </c>
      <c r="D23" s="2"/>
      <c r="E23" s="54"/>
      <c r="F23" s="54"/>
      <c r="G23" s="54"/>
      <c r="H23" s="54"/>
      <c r="I23" s="40"/>
      <c r="J23" s="40"/>
      <c r="K23" s="117"/>
      <c r="L23" s="117"/>
      <c r="M23" s="51"/>
      <c r="N23" s="51">
        <f t="shared" si="4"/>
        <v>0</v>
      </c>
      <c r="O23" s="51"/>
      <c r="P23" s="62">
        <f t="shared" si="5"/>
        <v>0</v>
      </c>
    </row>
    <row r="24" spans="1:16" ht="20.100000000000001" customHeight="1" x14ac:dyDescent="0.2">
      <c r="A24" s="1">
        <f t="shared" si="3"/>
        <v>12</v>
      </c>
      <c r="B24" s="2"/>
      <c r="C24" s="2" t="s">
        <v>16</v>
      </c>
      <c r="D24" s="2"/>
      <c r="E24" s="54"/>
      <c r="F24" s="54"/>
      <c r="G24" s="54"/>
      <c r="H24" s="54"/>
      <c r="I24" s="40"/>
      <c r="J24" s="40"/>
      <c r="K24" s="117"/>
      <c r="L24" s="117">
        <v>2000000</v>
      </c>
      <c r="M24" s="55"/>
      <c r="N24" s="51">
        <f t="shared" si="4"/>
        <v>2000000</v>
      </c>
      <c r="O24" s="51"/>
      <c r="P24" s="62">
        <f t="shared" si="5"/>
        <v>4.31091388680079E-2</v>
      </c>
    </row>
    <row r="25" spans="1:16" ht="20.100000000000001" customHeight="1" x14ac:dyDescent="0.2">
      <c r="A25" s="1">
        <f t="shared" si="3"/>
        <v>13</v>
      </c>
      <c r="B25" s="2"/>
      <c r="C25" s="2" t="s">
        <v>17</v>
      </c>
      <c r="D25" s="2"/>
      <c r="E25" s="54"/>
      <c r="F25" s="54"/>
      <c r="G25" s="54"/>
      <c r="H25" s="54"/>
      <c r="I25" s="40"/>
      <c r="J25" s="40"/>
      <c r="K25" s="117"/>
      <c r="L25" s="117">
        <v>2400000</v>
      </c>
      <c r="M25" s="51"/>
      <c r="N25" s="51">
        <f t="shared" si="4"/>
        <v>2400000</v>
      </c>
      <c r="O25" s="51"/>
      <c r="P25" s="62">
        <f t="shared" si="5"/>
        <v>5.1730966641609477E-2</v>
      </c>
    </row>
    <row r="26" spans="1:16" ht="20.100000000000001" customHeight="1" x14ac:dyDescent="0.2">
      <c r="A26" s="1">
        <f t="shared" si="3"/>
        <v>14</v>
      </c>
      <c r="B26" s="2"/>
      <c r="C26" s="2" t="s">
        <v>18</v>
      </c>
      <c r="D26" s="2"/>
      <c r="E26" s="54"/>
      <c r="F26" s="54"/>
      <c r="G26" s="54"/>
      <c r="H26" s="54"/>
      <c r="I26" s="40"/>
      <c r="J26" s="40"/>
      <c r="K26" s="117"/>
      <c r="L26" s="117">
        <v>400000</v>
      </c>
      <c r="M26" s="51"/>
      <c r="N26" s="51">
        <f t="shared" si="4"/>
        <v>400000</v>
      </c>
      <c r="O26" s="51"/>
      <c r="P26" s="62">
        <f t="shared" si="5"/>
        <v>8.6218277736015807E-3</v>
      </c>
    </row>
    <row r="27" spans="1:16" ht="20.100000000000001" customHeight="1" x14ac:dyDescent="0.2">
      <c r="A27" s="1">
        <f t="shared" si="3"/>
        <v>15</v>
      </c>
      <c r="B27" s="2"/>
      <c r="C27" s="2" t="s">
        <v>19</v>
      </c>
      <c r="D27" s="2"/>
      <c r="E27" s="54"/>
      <c r="F27" s="54"/>
      <c r="G27" s="54"/>
      <c r="H27" s="54"/>
      <c r="I27" s="118"/>
      <c r="J27" s="40"/>
      <c r="K27" s="117">
        <v>2300000</v>
      </c>
      <c r="L27" s="117"/>
      <c r="M27" s="51"/>
      <c r="N27" s="51">
        <f t="shared" si="4"/>
        <v>2300000</v>
      </c>
      <c r="O27" s="51"/>
      <c r="P27" s="62">
        <f t="shared" si="5"/>
        <v>4.9575509698209085E-2</v>
      </c>
    </row>
    <row r="28" spans="1:16" ht="20.100000000000001" customHeight="1" x14ac:dyDescent="0.2">
      <c r="A28" s="1">
        <f t="shared" si="3"/>
        <v>16</v>
      </c>
      <c r="B28" s="2"/>
      <c r="C28" s="2" t="s">
        <v>20</v>
      </c>
      <c r="D28" s="2"/>
      <c r="E28" s="54"/>
      <c r="F28" s="54"/>
      <c r="G28" s="40"/>
      <c r="H28" s="54"/>
      <c r="I28" s="54">
        <f>(984141+465000)+43000+(430500+28500+35000)+40000+174800</f>
        <v>2200941</v>
      </c>
      <c r="J28" s="40"/>
      <c r="K28" s="117"/>
      <c r="L28" s="117"/>
      <c r="M28" s="51"/>
      <c r="N28" s="51">
        <f t="shared" si="4"/>
        <v>2200941</v>
      </c>
      <c r="O28" s="51"/>
      <c r="P28" s="62">
        <f t="shared" si="5"/>
        <v>4.744033560464609E-2</v>
      </c>
    </row>
    <row r="29" spans="1:16" ht="20.100000000000001" customHeight="1" x14ac:dyDescent="0.2">
      <c r="A29" s="1">
        <f t="shared" si="3"/>
        <v>17</v>
      </c>
      <c r="B29" s="2"/>
      <c r="C29" s="2" t="s">
        <v>21</v>
      </c>
      <c r="D29" s="2"/>
      <c r="E29" s="54"/>
      <c r="F29" s="54"/>
      <c r="G29" s="54"/>
      <c r="H29" s="54"/>
      <c r="I29" s="40"/>
      <c r="J29" s="40"/>
      <c r="K29" s="117">
        <v>150000</v>
      </c>
      <c r="L29" s="117"/>
      <c r="M29" s="51"/>
      <c r="N29" s="51">
        <f t="shared" si="4"/>
        <v>150000</v>
      </c>
      <c r="O29" s="51"/>
      <c r="P29" s="62">
        <f t="shared" si="5"/>
        <v>3.2331854151005923E-3</v>
      </c>
    </row>
    <row r="30" spans="1:16" ht="20.100000000000001" customHeight="1" x14ac:dyDescent="0.2">
      <c r="A30" s="1">
        <f t="shared" si="3"/>
        <v>18</v>
      </c>
      <c r="B30" s="2"/>
      <c r="C30" s="2" t="s">
        <v>22</v>
      </c>
      <c r="D30" s="2"/>
      <c r="E30" s="54"/>
      <c r="F30" s="54"/>
      <c r="G30" s="54"/>
      <c r="H30" s="54"/>
      <c r="I30" s="40">
        <f>30000+75000+126500+(12000+8200)</f>
        <v>251700</v>
      </c>
      <c r="J30" s="40"/>
      <c r="K30" s="117">
        <v>1600000</v>
      </c>
      <c r="L30" s="117"/>
      <c r="M30" s="51"/>
      <c r="N30" s="51">
        <f t="shared" si="4"/>
        <v>1851700</v>
      </c>
      <c r="O30" s="51"/>
      <c r="P30" s="62">
        <f t="shared" si="5"/>
        <v>3.9912596220945111E-2</v>
      </c>
    </row>
    <row r="31" spans="1:16" x14ac:dyDescent="0.2">
      <c r="A31" s="1">
        <f t="shared" si="3"/>
        <v>19</v>
      </c>
      <c r="B31" s="2"/>
      <c r="C31" s="2"/>
      <c r="D31" s="2"/>
      <c r="E31" s="54"/>
      <c r="F31" s="54"/>
      <c r="G31" s="54"/>
      <c r="H31" s="54"/>
      <c r="I31" s="51"/>
      <c r="J31" s="51"/>
      <c r="K31" s="51"/>
      <c r="L31" s="51"/>
      <c r="M31" s="51"/>
      <c r="N31" s="51"/>
      <c r="O31" s="51"/>
      <c r="P31" s="51"/>
    </row>
    <row r="32" spans="1:16" ht="20.100000000000001" customHeight="1" x14ac:dyDescent="0.2">
      <c r="A32" s="1">
        <f t="shared" si="3"/>
        <v>20</v>
      </c>
      <c r="B32" s="2"/>
      <c r="C32" s="2" t="s">
        <v>23</v>
      </c>
      <c r="D32" s="2"/>
      <c r="E32" s="48">
        <f>SUM(E20:E31)</f>
        <v>25853600</v>
      </c>
      <c r="F32" s="48">
        <f>SUM(F20:F31)</f>
        <v>4221634</v>
      </c>
      <c r="G32" s="48">
        <f>SUM(G20:G31)</f>
        <v>0</v>
      </c>
      <c r="H32" s="48"/>
      <c r="I32" s="48">
        <f>SUM(I20:I31)</f>
        <v>3818641</v>
      </c>
      <c r="J32" s="47"/>
      <c r="K32" s="48">
        <f>SUM(K20:K31)</f>
        <v>7700000</v>
      </c>
      <c r="L32" s="48">
        <f>SUM(L20:L31)</f>
        <v>4800000</v>
      </c>
      <c r="M32" s="47"/>
      <c r="N32" s="48">
        <f>SUM(N20:N31)</f>
        <v>46393875</v>
      </c>
      <c r="O32" s="47"/>
      <c r="P32" s="63">
        <f>SUM(P13:P31)-P20</f>
        <v>0.99999999999999967</v>
      </c>
    </row>
    <row r="33" spans="1:16" ht="15.75" thickBot="1" x14ac:dyDescent="0.25">
      <c r="B33" s="2"/>
      <c r="C33" s="2"/>
      <c r="D33" s="2"/>
      <c r="E33" s="53"/>
      <c r="F33" s="53"/>
      <c r="G33" s="53"/>
      <c r="H33" s="53"/>
      <c r="I33" s="49"/>
      <c r="J33" s="47"/>
      <c r="K33" s="49"/>
      <c r="L33" s="49"/>
      <c r="M33" s="47"/>
      <c r="N33" s="49"/>
      <c r="O33" s="47"/>
      <c r="P33" s="47"/>
    </row>
    <row r="34" spans="1:16" ht="16.5" thickTop="1" thickBot="1" x14ac:dyDescent="0.25">
      <c r="A34" s="99"/>
      <c r="B34" s="100"/>
      <c r="C34" s="100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</row>
    <row r="35" spans="1:16" ht="15.75" thickTop="1" x14ac:dyDescent="0.2">
      <c r="B35" s="2"/>
      <c r="C35" s="2"/>
      <c r="D35" s="2"/>
      <c r="E35" s="52"/>
      <c r="F35" s="52"/>
      <c r="G35" s="52"/>
      <c r="H35" s="52"/>
      <c r="I35" s="47"/>
      <c r="J35" s="47"/>
      <c r="K35" s="47"/>
      <c r="L35" s="47"/>
      <c r="M35" s="47"/>
      <c r="N35" s="47"/>
      <c r="O35" s="47"/>
      <c r="P35" s="47"/>
    </row>
    <row r="36" spans="1:16" ht="15.75" x14ac:dyDescent="0.25">
      <c r="A36" s="1">
        <f>+A32+1</f>
        <v>21</v>
      </c>
      <c r="B36" s="98" t="s">
        <v>91</v>
      </c>
      <c r="C36" s="2"/>
      <c r="D36" s="2"/>
      <c r="E36" s="52"/>
      <c r="F36" s="52"/>
      <c r="G36" s="52"/>
      <c r="H36" s="52"/>
      <c r="I36" s="47"/>
      <c r="J36" s="47"/>
      <c r="K36" s="47"/>
      <c r="L36" s="47"/>
      <c r="M36" s="47"/>
      <c r="N36" s="47"/>
      <c r="O36" s="47"/>
      <c r="P36" s="47"/>
    </row>
    <row r="37" spans="1:16" ht="20.100000000000001" customHeight="1" x14ac:dyDescent="0.2">
      <c r="A37" s="1">
        <f t="shared" si="2"/>
        <v>22</v>
      </c>
      <c r="B37" s="2"/>
      <c r="C37" s="2" t="s">
        <v>24</v>
      </c>
      <c r="D37" s="2"/>
      <c r="E37" s="116">
        <v>12210795</v>
      </c>
      <c r="F37" s="116">
        <v>3351524</v>
      </c>
      <c r="G37" s="116"/>
      <c r="H37" s="116"/>
      <c r="I37" s="116"/>
      <c r="J37" s="116"/>
      <c r="K37" s="40">
        <v>2293300</v>
      </c>
      <c r="L37" s="40">
        <v>2252600</v>
      </c>
      <c r="M37" s="47"/>
      <c r="N37" s="47">
        <f>SUM(E37:L37)</f>
        <v>20108219</v>
      </c>
      <c r="O37" s="47"/>
      <c r="P37" s="62">
        <f t="shared" ref="P37:P47" si="6">+N37/$N$51</f>
        <v>0.43535500066175059</v>
      </c>
    </row>
    <row r="38" spans="1:16" ht="20.100000000000001" customHeight="1" x14ac:dyDescent="0.2">
      <c r="A38" s="1">
        <f t="shared" si="2"/>
        <v>23</v>
      </c>
      <c r="B38" s="2"/>
      <c r="C38" s="2" t="s">
        <v>25</v>
      </c>
      <c r="D38" s="2"/>
      <c r="E38" s="40">
        <v>149561</v>
      </c>
      <c r="F38" s="40"/>
      <c r="G38" s="40"/>
      <c r="H38" s="40"/>
      <c r="I38" s="40"/>
      <c r="J38" s="40"/>
      <c r="K38" s="40">
        <v>0</v>
      </c>
      <c r="L38" s="40">
        <v>186900</v>
      </c>
      <c r="M38" s="51"/>
      <c r="N38" s="51">
        <f t="shared" ref="N38:N47" si="7">SUM(E38:L38)</f>
        <v>336461</v>
      </c>
      <c r="O38" s="51"/>
      <c r="P38" s="62">
        <f t="shared" si="6"/>
        <v>7.2845824325691528E-3</v>
      </c>
    </row>
    <row r="39" spans="1:16" ht="20.100000000000001" customHeight="1" x14ac:dyDescent="0.2">
      <c r="A39" s="1">
        <f t="shared" si="2"/>
        <v>24</v>
      </c>
      <c r="B39" s="2"/>
      <c r="C39" s="2" t="s">
        <v>26</v>
      </c>
      <c r="D39" s="2"/>
      <c r="E39" s="40">
        <v>102062</v>
      </c>
      <c r="F39" s="40"/>
      <c r="G39" s="40"/>
      <c r="H39" s="40"/>
      <c r="I39" s="40"/>
      <c r="J39" s="40"/>
      <c r="K39" s="40">
        <v>465700</v>
      </c>
      <c r="L39" s="40">
        <v>1548800</v>
      </c>
      <c r="M39" s="51"/>
      <c r="N39" s="51">
        <f t="shared" si="7"/>
        <v>2116562</v>
      </c>
      <c r="O39" s="51"/>
      <c r="P39" s="62">
        <f t="shared" si="6"/>
        <v>4.582483664568384E-2</v>
      </c>
    </row>
    <row r="40" spans="1:16" ht="20.100000000000001" customHeight="1" x14ac:dyDescent="0.2">
      <c r="A40" s="1">
        <f t="shared" si="2"/>
        <v>25</v>
      </c>
      <c r="B40" s="2"/>
      <c r="C40" s="2" t="s">
        <v>27</v>
      </c>
      <c r="D40" s="2"/>
      <c r="E40" s="40">
        <v>1906700</v>
      </c>
      <c r="F40" s="40">
        <v>624007</v>
      </c>
      <c r="G40" s="40"/>
      <c r="H40" s="40"/>
      <c r="I40" s="40"/>
      <c r="J40" s="40"/>
      <c r="K40" s="40">
        <v>6200</v>
      </c>
      <c r="L40" s="40"/>
      <c r="M40" s="51"/>
      <c r="N40" s="51">
        <f t="shared" si="7"/>
        <v>2536907</v>
      </c>
      <c r="O40" s="51"/>
      <c r="P40" s="62">
        <f t="shared" si="6"/>
        <v>5.4925557985209914E-2</v>
      </c>
    </row>
    <row r="41" spans="1:16" ht="20.100000000000001" customHeight="1" x14ac:dyDescent="0.2">
      <c r="A41" s="1">
        <f t="shared" si="2"/>
        <v>26</v>
      </c>
      <c r="B41" s="2"/>
      <c r="C41" s="2" t="s">
        <v>28</v>
      </c>
      <c r="D41" s="2"/>
      <c r="E41" s="40">
        <v>1025219</v>
      </c>
      <c r="F41" s="40"/>
      <c r="G41" s="40"/>
      <c r="H41" s="40"/>
      <c r="I41" s="40"/>
      <c r="J41" s="40"/>
      <c r="K41" s="40">
        <v>557100</v>
      </c>
      <c r="L41" s="40">
        <v>811700</v>
      </c>
      <c r="M41" s="51"/>
      <c r="N41" s="51">
        <f t="shared" si="7"/>
        <v>2394019</v>
      </c>
      <c r="O41" s="51"/>
      <c r="P41" s="62">
        <f t="shared" si="6"/>
        <v>5.1831947092342859E-2</v>
      </c>
    </row>
    <row r="42" spans="1:16" ht="20.100000000000001" customHeight="1" x14ac:dyDescent="0.2">
      <c r="A42" s="1">
        <f t="shared" si="2"/>
        <v>27</v>
      </c>
      <c r="B42" s="2"/>
      <c r="C42" s="2" t="s">
        <v>29</v>
      </c>
      <c r="D42" s="2"/>
      <c r="E42" s="40">
        <v>1857361</v>
      </c>
      <c r="F42" s="40">
        <v>176936</v>
      </c>
      <c r="G42" s="40"/>
      <c r="H42" s="40"/>
      <c r="I42" s="40"/>
      <c r="J42" s="40"/>
      <c r="K42" s="40">
        <v>342000</v>
      </c>
      <c r="L42" s="40">
        <v>0</v>
      </c>
      <c r="M42" s="51"/>
      <c r="N42" s="51">
        <f t="shared" si="7"/>
        <v>2376297</v>
      </c>
      <c r="O42" s="51"/>
      <c r="P42" s="62">
        <f t="shared" si="6"/>
        <v>5.1448255164095631E-2</v>
      </c>
    </row>
    <row r="43" spans="1:16" ht="20.100000000000001" customHeight="1" x14ac:dyDescent="0.2">
      <c r="A43" s="1">
        <f t="shared" si="2"/>
        <v>28</v>
      </c>
      <c r="B43" s="2"/>
      <c r="C43" s="2" t="s">
        <v>30</v>
      </c>
      <c r="D43" s="2"/>
      <c r="E43" s="40">
        <v>3903855</v>
      </c>
      <c r="F43" s="40"/>
      <c r="G43" s="40"/>
      <c r="H43" s="40"/>
      <c r="I43" s="40"/>
      <c r="J43" s="40"/>
      <c r="K43" s="40">
        <v>1729200</v>
      </c>
      <c r="L43" s="40"/>
      <c r="M43" s="51"/>
      <c r="N43" s="51">
        <f t="shared" si="7"/>
        <v>5633055</v>
      </c>
      <c r="O43" s="51"/>
      <c r="P43" s="62">
        <f t="shared" si="6"/>
        <v>0.12195901900872859</v>
      </c>
    </row>
    <row r="44" spans="1:16" ht="20.100000000000001" customHeight="1" x14ac:dyDescent="0.2">
      <c r="A44" s="1">
        <f t="shared" si="2"/>
        <v>29</v>
      </c>
      <c r="B44" s="2"/>
      <c r="C44" s="2" t="s">
        <v>31</v>
      </c>
      <c r="D44" s="2"/>
      <c r="E44" s="40">
        <v>2833955</v>
      </c>
      <c r="F44" s="40"/>
      <c r="G44" s="40"/>
      <c r="H44" s="40"/>
      <c r="I44" s="40"/>
      <c r="J44" s="40"/>
      <c r="K44" s="40">
        <v>351600</v>
      </c>
      <c r="L44" s="40"/>
      <c r="M44" s="51"/>
      <c r="N44" s="51">
        <f t="shared" si="7"/>
        <v>3185555</v>
      </c>
      <c r="O44" s="51"/>
      <c r="P44" s="62">
        <f t="shared" si="6"/>
        <v>6.8969176192732073E-2</v>
      </c>
    </row>
    <row r="45" spans="1:16" ht="20.100000000000001" customHeight="1" x14ac:dyDescent="0.2">
      <c r="A45" s="1">
        <f t="shared" si="2"/>
        <v>30</v>
      </c>
      <c r="B45" s="2"/>
      <c r="C45" s="2" t="s">
        <v>32</v>
      </c>
      <c r="D45" s="2"/>
      <c r="E45" s="40"/>
      <c r="F45" s="40"/>
      <c r="G45" s="40"/>
      <c r="H45" s="40"/>
      <c r="I45" s="40"/>
      <c r="J45" s="40"/>
      <c r="K45" s="40">
        <v>93300</v>
      </c>
      <c r="L45" s="40"/>
      <c r="M45" s="51"/>
      <c r="N45" s="51">
        <f t="shared" si="7"/>
        <v>93300</v>
      </c>
      <c r="O45" s="51"/>
      <c r="P45" s="62">
        <f t="shared" si="6"/>
        <v>2.0200009539254236E-3</v>
      </c>
    </row>
    <row r="46" spans="1:16" ht="20.100000000000001" customHeight="1" x14ac:dyDescent="0.2">
      <c r="A46" s="1">
        <f t="shared" si="2"/>
        <v>31</v>
      </c>
      <c r="B46" s="2"/>
      <c r="C46" s="2" t="s">
        <v>77</v>
      </c>
      <c r="D46" s="2"/>
      <c r="E46" s="40">
        <v>912892</v>
      </c>
      <c r="F46" s="40"/>
      <c r="G46" s="40"/>
      <c r="H46" s="40"/>
      <c r="I46" s="40">
        <v>3812863</v>
      </c>
      <c r="J46" s="40"/>
      <c r="K46" s="40">
        <v>1661600</v>
      </c>
      <c r="L46" s="40"/>
      <c r="M46" s="51"/>
      <c r="N46" s="51">
        <f t="shared" si="7"/>
        <v>6387355</v>
      </c>
      <c r="O46" s="51"/>
      <c r="P46" s="62">
        <f t="shared" si="6"/>
        <v>0.13829006637792415</v>
      </c>
    </row>
    <row r="47" spans="1:16" ht="20.100000000000001" customHeight="1" x14ac:dyDescent="0.2">
      <c r="A47" s="1">
        <f t="shared" si="2"/>
        <v>32</v>
      </c>
      <c r="B47" s="2"/>
      <c r="C47" s="2" t="s">
        <v>33</v>
      </c>
      <c r="D47" s="2"/>
      <c r="E47" s="40"/>
      <c r="F47" s="40"/>
      <c r="G47" s="40"/>
      <c r="H47" s="40"/>
      <c r="I47" s="40"/>
      <c r="J47" s="40"/>
      <c r="K47" s="40"/>
      <c r="L47" s="40"/>
      <c r="M47" s="51"/>
      <c r="N47" s="51">
        <f t="shared" si="7"/>
        <v>0</v>
      </c>
      <c r="O47" s="51"/>
      <c r="P47" s="62">
        <f t="shared" si="6"/>
        <v>0</v>
      </c>
    </row>
    <row r="48" spans="1:16" x14ac:dyDescent="0.2">
      <c r="A48" s="1">
        <f t="shared" si="2"/>
        <v>33</v>
      </c>
      <c r="B48" s="2"/>
      <c r="C48" s="2"/>
      <c r="D48" s="2"/>
      <c r="E48" s="54"/>
      <c r="F48" s="54"/>
      <c r="G48" s="54"/>
      <c r="H48" s="54"/>
      <c r="I48" s="51"/>
      <c r="J48" s="51"/>
      <c r="K48" s="51"/>
      <c r="L48" s="51"/>
      <c r="M48" s="51"/>
      <c r="N48" s="51"/>
      <c r="O48" s="51"/>
      <c r="P48" s="51"/>
    </row>
    <row r="49" spans="1:16" x14ac:dyDescent="0.2">
      <c r="A49" s="1">
        <f>+A48+1</f>
        <v>34</v>
      </c>
      <c r="B49" s="2"/>
      <c r="C49" s="2" t="s">
        <v>85</v>
      </c>
      <c r="D49" s="2"/>
      <c r="E49" s="40">
        <v>951200</v>
      </c>
      <c r="F49" s="54">
        <v>69167</v>
      </c>
      <c r="G49" s="54"/>
      <c r="H49" s="54"/>
      <c r="I49" s="51"/>
      <c r="J49" s="51"/>
      <c r="K49" s="51"/>
      <c r="L49" s="51"/>
      <c r="M49" s="51"/>
      <c r="N49" s="51">
        <f>SUM(E49:L49)</f>
        <v>1020367</v>
      </c>
      <c r="O49" s="51"/>
      <c r="P49" s="62">
        <f>+N49/$N$51</f>
        <v>2.2091557485037758E-2</v>
      </c>
    </row>
    <row r="50" spans="1:16" x14ac:dyDescent="0.2">
      <c r="A50" s="1">
        <f>+A49+1</f>
        <v>35</v>
      </c>
      <c r="B50" s="2"/>
      <c r="C50" s="2"/>
      <c r="D50" s="2"/>
      <c r="E50" s="54"/>
      <c r="F50" s="54"/>
      <c r="G50" s="54"/>
      <c r="H50" s="54"/>
      <c r="I50" s="51"/>
      <c r="J50" s="51"/>
      <c r="K50" s="51"/>
      <c r="L50" s="51"/>
      <c r="M50" s="51"/>
      <c r="N50" s="51"/>
      <c r="O50" s="51"/>
      <c r="P50" s="51"/>
    </row>
    <row r="51" spans="1:16" ht="20.100000000000001" customHeight="1" x14ac:dyDescent="0.2">
      <c r="A51" s="1">
        <f t="shared" si="2"/>
        <v>36</v>
      </c>
      <c r="B51" s="2"/>
      <c r="C51" s="2" t="s">
        <v>34</v>
      </c>
      <c r="D51" s="2"/>
      <c r="E51" s="48">
        <f>SUM(E37:E50)</f>
        <v>25853600</v>
      </c>
      <c r="F51" s="48">
        <f>SUM(F37:F50)</f>
        <v>4221634</v>
      </c>
      <c r="G51" s="48">
        <f>SUM(G37:G50)</f>
        <v>0</v>
      </c>
      <c r="H51" s="48"/>
      <c r="I51" s="48">
        <f>SUM(I37:I50)</f>
        <v>3812863</v>
      </c>
      <c r="J51" s="48"/>
      <c r="K51" s="48">
        <f>SUM(K37:K50)</f>
        <v>7500000</v>
      </c>
      <c r="L51" s="48">
        <f>SUM(L37:L50)</f>
        <v>4800000</v>
      </c>
      <c r="M51" s="47"/>
      <c r="N51" s="48">
        <f>SUM(N37:N50)</f>
        <v>46188097</v>
      </c>
      <c r="O51" s="47"/>
      <c r="P51" s="65">
        <f>SUM(P37:P50)</f>
        <v>1</v>
      </c>
    </row>
    <row r="52" spans="1:16" x14ac:dyDescent="0.2">
      <c r="A52" s="1">
        <f t="shared" si="2"/>
        <v>37</v>
      </c>
      <c r="B52" s="2"/>
      <c r="C52" s="2"/>
      <c r="D52" s="2"/>
      <c r="E52" s="53"/>
      <c r="F52" s="53"/>
      <c r="G52" s="53"/>
      <c r="H52" s="53"/>
      <c r="I52" s="49"/>
      <c r="J52" s="47"/>
      <c r="K52" s="49"/>
      <c r="L52" s="49"/>
      <c r="M52" s="47"/>
      <c r="N52" s="49"/>
      <c r="O52" s="47"/>
      <c r="P52" s="47"/>
    </row>
    <row r="53" spans="1:16" x14ac:dyDescent="0.2">
      <c r="A53" s="1">
        <f t="shared" si="2"/>
        <v>38</v>
      </c>
      <c r="B53" s="2"/>
      <c r="C53" s="2"/>
      <c r="D53" s="2"/>
      <c r="E53" s="52"/>
      <c r="F53" s="52"/>
      <c r="G53" s="52"/>
      <c r="H53" s="52"/>
      <c r="I53" s="47"/>
      <c r="J53" s="47"/>
      <c r="K53" s="47"/>
      <c r="L53" s="47"/>
      <c r="M53" s="47"/>
      <c r="N53" s="47"/>
      <c r="O53" s="47"/>
      <c r="P53" s="47"/>
    </row>
    <row r="54" spans="1:16" ht="20.100000000000001" customHeight="1" thickBot="1" x14ac:dyDescent="0.25">
      <c r="A54" s="1">
        <f t="shared" si="2"/>
        <v>39</v>
      </c>
      <c r="B54" s="2" t="s">
        <v>2</v>
      </c>
      <c r="C54" s="2"/>
      <c r="D54" s="2"/>
      <c r="E54" s="46">
        <f>+E32-E51</f>
        <v>0</v>
      </c>
      <c r="F54" s="46">
        <f>+F32-F51</f>
        <v>0</v>
      </c>
      <c r="G54" s="46">
        <f>+G32-G51</f>
        <v>0</v>
      </c>
      <c r="H54" s="46"/>
      <c r="I54" s="46">
        <f>+I32-I51</f>
        <v>5778</v>
      </c>
      <c r="J54" s="47"/>
      <c r="K54" s="46">
        <f>+K32-K51</f>
        <v>200000</v>
      </c>
      <c r="L54" s="46">
        <f>+L32-L51</f>
        <v>0</v>
      </c>
      <c r="M54" s="47"/>
      <c r="N54" s="46">
        <f>+N32-N51</f>
        <v>205778</v>
      </c>
      <c r="O54" s="47"/>
      <c r="P54" s="47"/>
    </row>
    <row r="55" spans="1:16" ht="15.75" thickTop="1" x14ac:dyDescent="0.2">
      <c r="A55" s="1">
        <f t="shared" si="2"/>
        <v>40</v>
      </c>
      <c r="B55" s="2"/>
      <c r="C55" s="2"/>
      <c r="D55" s="2"/>
      <c r="E55" s="41"/>
      <c r="F55" s="41"/>
      <c r="G55" s="41"/>
      <c r="H55" s="41"/>
      <c r="I55" s="44"/>
      <c r="J55" s="42"/>
      <c r="K55" s="44"/>
      <c r="L55" s="44"/>
      <c r="M55" s="42"/>
      <c r="N55" s="44"/>
      <c r="O55" s="42"/>
      <c r="P55" s="42"/>
    </row>
    <row r="56" spans="1:16" x14ac:dyDescent="0.2">
      <c r="A56" s="1">
        <f t="shared" si="2"/>
        <v>41</v>
      </c>
      <c r="B56" s="2"/>
      <c r="C56" s="2"/>
      <c r="D56" s="2"/>
      <c r="E56" s="40"/>
      <c r="F56" s="40"/>
      <c r="G56" s="40"/>
      <c r="H56" s="40"/>
      <c r="I56" s="42"/>
      <c r="J56" s="42"/>
      <c r="K56" s="42"/>
      <c r="L56" s="42"/>
      <c r="M56" s="42"/>
      <c r="N56" s="42"/>
      <c r="O56" s="42"/>
      <c r="P56" s="42"/>
    </row>
    <row r="57" spans="1:16" ht="20.100000000000001" customHeight="1" x14ac:dyDescent="0.2">
      <c r="A57" s="1">
        <f t="shared" si="2"/>
        <v>42</v>
      </c>
      <c r="B57" s="2" t="s">
        <v>3</v>
      </c>
      <c r="C57" s="2"/>
      <c r="D57" s="2"/>
      <c r="E57" s="119">
        <v>308.23</v>
      </c>
      <c r="F57" s="119">
        <v>56.01</v>
      </c>
      <c r="G57" s="119"/>
      <c r="H57" s="119"/>
      <c r="I57" s="119">
        <f>5.67+4.95+3.29+0.45+3</f>
        <v>17.36</v>
      </c>
      <c r="J57" s="119"/>
      <c r="K57" s="120">
        <f>17+15.08</f>
        <v>32.08</v>
      </c>
      <c r="L57" s="120">
        <v>47.45</v>
      </c>
      <c r="M57" s="45"/>
      <c r="N57" s="36">
        <f>SUM(E57:L57)</f>
        <v>461.13</v>
      </c>
      <c r="O57" s="45"/>
      <c r="P57" s="45"/>
    </row>
    <row r="58" spans="1:16" x14ac:dyDescent="0.2">
      <c r="A58" s="1">
        <f t="shared" si="2"/>
        <v>43</v>
      </c>
      <c r="B58" s="2"/>
      <c r="C58" s="2"/>
      <c r="D58" s="2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</row>
    <row r="59" spans="1:16" ht="20.100000000000001" customHeight="1" x14ac:dyDescent="0.2">
      <c r="A59" s="1">
        <f t="shared" si="2"/>
        <v>44</v>
      </c>
      <c r="B59" s="2"/>
      <c r="C59" s="66" t="s">
        <v>79</v>
      </c>
      <c r="D59" s="2"/>
      <c r="E59" s="2"/>
      <c r="F59" s="2"/>
      <c r="G59" s="2"/>
      <c r="H59" s="2"/>
      <c r="I59" s="2"/>
      <c r="J59" s="2"/>
      <c r="K59" s="2"/>
      <c r="L59" s="2"/>
      <c r="M59" s="4"/>
      <c r="N59" s="2"/>
      <c r="O59" s="2"/>
      <c r="P59" s="2"/>
    </row>
    <row r="60" spans="1:16" ht="20.100000000000001" customHeight="1" x14ac:dyDescent="0.2">
      <c r="A60" s="1">
        <f t="shared" si="2"/>
        <v>45</v>
      </c>
      <c r="B60" s="2"/>
      <c r="C60" s="13" t="s">
        <v>35</v>
      </c>
      <c r="D60" s="2"/>
      <c r="E60" s="2"/>
      <c r="F60" s="2"/>
      <c r="G60" s="2"/>
      <c r="H60" s="2"/>
      <c r="I60" s="2"/>
      <c r="J60" s="2"/>
      <c r="K60" s="2"/>
      <c r="L60" s="2"/>
      <c r="M60" s="4"/>
      <c r="N60" s="2"/>
      <c r="O60" s="2"/>
      <c r="P60" s="2"/>
    </row>
    <row r="61" spans="1:16" x14ac:dyDescent="0.2">
      <c r="A61" s="1">
        <f t="shared" si="2"/>
        <v>46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4"/>
      <c r="N61" s="2"/>
      <c r="O61" s="2"/>
      <c r="P61" s="2"/>
    </row>
    <row r="62" spans="1:16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4"/>
      <c r="N62" s="2"/>
      <c r="O62" s="2"/>
      <c r="P62" s="2"/>
    </row>
    <row r="63" spans="1:16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4"/>
      <c r="N63" s="2"/>
      <c r="O63" s="2"/>
      <c r="P63" s="2"/>
    </row>
    <row r="64" spans="1:16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4"/>
      <c r="N64" s="2"/>
      <c r="O64" s="2"/>
      <c r="P64" s="2"/>
    </row>
    <row r="65" spans="2:16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4"/>
      <c r="N65" s="2"/>
      <c r="O65" s="2"/>
      <c r="P65" s="2"/>
    </row>
    <row r="66" spans="2:16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4"/>
      <c r="N66" s="2"/>
      <c r="O66" s="2"/>
      <c r="P66" s="2"/>
    </row>
    <row r="67" spans="2:16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4"/>
      <c r="N67" s="2"/>
      <c r="O67" s="2"/>
      <c r="P67" s="2"/>
    </row>
    <row r="68" spans="2:16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4"/>
      <c r="N68" s="2"/>
      <c r="O68" s="2"/>
      <c r="P68" s="2"/>
    </row>
    <row r="69" spans="2:16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4"/>
      <c r="N69" s="2"/>
      <c r="O69" s="2"/>
      <c r="P69" s="2"/>
    </row>
    <row r="70" spans="2:16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4"/>
      <c r="N70" s="2"/>
      <c r="O70" s="2"/>
      <c r="P70" s="2"/>
    </row>
    <row r="71" spans="2:16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4"/>
      <c r="N71" s="2"/>
      <c r="O71" s="2"/>
      <c r="P71" s="2"/>
    </row>
    <row r="72" spans="2:16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4"/>
      <c r="N72" s="2"/>
      <c r="O72" s="2"/>
      <c r="P72" s="2"/>
    </row>
    <row r="73" spans="2:16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4"/>
      <c r="N73" s="2"/>
      <c r="O73" s="2"/>
      <c r="P73" s="2"/>
    </row>
    <row r="74" spans="2:16" x14ac:dyDescent="0.2">
      <c r="B74" s="2"/>
      <c r="C74" s="2"/>
      <c r="D74" s="2"/>
      <c r="E74" s="2"/>
      <c r="F74" s="2"/>
      <c r="G74" s="2"/>
      <c r="H74" s="2"/>
      <c r="I74" s="2" t="s">
        <v>8</v>
      </c>
      <c r="J74" s="2"/>
      <c r="K74" s="2"/>
      <c r="L74" s="2"/>
      <c r="M74" s="4"/>
      <c r="N74" s="2"/>
      <c r="O74" s="2"/>
      <c r="P74" s="2"/>
    </row>
    <row r="75" spans="2:16" x14ac:dyDescent="0.2">
      <c r="M75" s="15"/>
    </row>
    <row r="76" spans="2:16" x14ac:dyDescent="0.2">
      <c r="M76" s="15"/>
    </row>
    <row r="77" spans="2:16" x14ac:dyDescent="0.2">
      <c r="M77" s="15"/>
    </row>
    <row r="78" spans="2:16" x14ac:dyDescent="0.2">
      <c r="M78" s="15"/>
    </row>
    <row r="79" spans="2:16" x14ac:dyDescent="0.2">
      <c r="M79" s="15"/>
    </row>
    <row r="80" spans="2:16" x14ac:dyDescent="0.2">
      <c r="M80" s="15"/>
    </row>
    <row r="81" spans="13:13" x14ac:dyDescent="0.2">
      <c r="M81" s="15"/>
    </row>
    <row r="82" spans="13:13" x14ac:dyDescent="0.2">
      <c r="M82" s="15"/>
    </row>
    <row r="83" spans="13:13" x14ac:dyDescent="0.2">
      <c r="M83" s="15"/>
    </row>
    <row r="84" spans="13:13" x14ac:dyDescent="0.2">
      <c r="M84" s="15"/>
    </row>
    <row r="85" spans="13:13" x14ac:dyDescent="0.2">
      <c r="M85" s="15"/>
    </row>
    <row r="86" spans="13:13" x14ac:dyDescent="0.2">
      <c r="M86" s="15"/>
    </row>
    <row r="87" spans="13:13" x14ac:dyDescent="0.2">
      <c r="M87" s="15"/>
    </row>
    <row r="88" spans="13:13" x14ac:dyDescent="0.2">
      <c r="M88" s="15"/>
    </row>
    <row r="89" spans="13:13" x14ac:dyDescent="0.2">
      <c r="M89" s="15"/>
    </row>
    <row r="90" spans="13:13" x14ac:dyDescent="0.2">
      <c r="M90" s="15"/>
    </row>
    <row r="91" spans="13:13" x14ac:dyDescent="0.2">
      <c r="M91" s="15"/>
    </row>
    <row r="92" spans="13:13" x14ac:dyDescent="0.2">
      <c r="M92" s="15"/>
    </row>
    <row r="93" spans="13:13" x14ac:dyDescent="0.2">
      <c r="M93" s="15"/>
    </row>
    <row r="94" spans="13:13" x14ac:dyDescent="0.2">
      <c r="M94" s="15"/>
    </row>
    <row r="95" spans="13:13" x14ac:dyDescent="0.2">
      <c r="M95" s="15"/>
    </row>
    <row r="96" spans="13:13" x14ac:dyDescent="0.2">
      <c r="M96" s="15"/>
    </row>
    <row r="97" spans="13:13" x14ac:dyDescent="0.2">
      <c r="M97" s="15"/>
    </row>
    <row r="98" spans="13:13" x14ac:dyDescent="0.2">
      <c r="M98" s="15"/>
    </row>
    <row r="99" spans="13:13" x14ac:dyDescent="0.2">
      <c r="M99" s="15"/>
    </row>
    <row r="100" spans="13:13" x14ac:dyDescent="0.2">
      <c r="M100" s="15"/>
    </row>
    <row r="101" spans="13:13" x14ac:dyDescent="0.2">
      <c r="M101" s="15"/>
    </row>
    <row r="102" spans="13:13" x14ac:dyDescent="0.2">
      <c r="M102" s="15"/>
    </row>
    <row r="103" spans="13:13" x14ac:dyDescent="0.2">
      <c r="M103" s="15"/>
    </row>
    <row r="104" spans="13:13" x14ac:dyDescent="0.2">
      <c r="M104" s="15"/>
    </row>
    <row r="105" spans="13:13" x14ac:dyDescent="0.2">
      <c r="M105" s="15"/>
    </row>
    <row r="106" spans="13:13" x14ac:dyDescent="0.2">
      <c r="M106" s="15"/>
    </row>
    <row r="107" spans="13:13" x14ac:dyDescent="0.2">
      <c r="M107" s="15"/>
    </row>
    <row r="108" spans="13:13" x14ac:dyDescent="0.2">
      <c r="M108" s="15"/>
    </row>
    <row r="109" spans="13:13" x14ac:dyDescent="0.2">
      <c r="M109" s="15"/>
    </row>
    <row r="110" spans="13:13" x14ac:dyDescent="0.2">
      <c r="M110" s="15"/>
    </row>
    <row r="111" spans="13:13" x14ac:dyDescent="0.2">
      <c r="M111" s="15"/>
    </row>
    <row r="112" spans="13:13" x14ac:dyDescent="0.2">
      <c r="M112" s="15"/>
    </row>
    <row r="113" spans="13:13" x14ac:dyDescent="0.2">
      <c r="M113" s="15"/>
    </row>
    <row r="114" spans="13:13" x14ac:dyDescent="0.2">
      <c r="M114" s="15"/>
    </row>
    <row r="115" spans="13:13" x14ac:dyDescent="0.2">
      <c r="M115" s="15"/>
    </row>
    <row r="116" spans="13:13" x14ac:dyDescent="0.2">
      <c r="M116" s="15"/>
    </row>
    <row r="117" spans="13:13" x14ac:dyDescent="0.2">
      <c r="M117" s="15"/>
    </row>
    <row r="118" spans="13:13" x14ac:dyDescent="0.2">
      <c r="M118" s="15"/>
    </row>
    <row r="119" spans="13:13" x14ac:dyDescent="0.2">
      <c r="M119" s="15"/>
    </row>
    <row r="120" spans="13:13" x14ac:dyDescent="0.2">
      <c r="M120" s="15"/>
    </row>
    <row r="121" spans="13:13" x14ac:dyDescent="0.2">
      <c r="M121" s="15"/>
    </row>
    <row r="122" spans="13:13" x14ac:dyDescent="0.2">
      <c r="M122" s="15"/>
    </row>
    <row r="123" spans="13:13" x14ac:dyDescent="0.2">
      <c r="M123" s="15"/>
    </row>
    <row r="124" spans="13:13" x14ac:dyDescent="0.2">
      <c r="M124" s="15"/>
    </row>
  </sheetData>
  <mergeCells count="1">
    <mergeCell ref="E8:G8"/>
  </mergeCells>
  <phoneticPr fontId="3" type="noConversion"/>
  <printOptions horizontalCentered="1"/>
  <pageMargins left="0.25" right="0.25" top="0.5" bottom="0.8" header="0" footer="0.42"/>
  <pageSetup scale="62" orientation="portrait" r:id="rId1"/>
  <headerFooter alignWithMargins="0">
    <oddFooter>&amp;L&amp;"Arial,Bold"&amp;18CONSENT AGENDA -BAHR - SECTION II&amp;R&amp;08Last Modified: 9/19/2007 4:29:13 PM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75" workbookViewId="0">
      <selection activeCell="K20" sqref="K20"/>
    </sheetView>
  </sheetViews>
  <sheetFormatPr defaultRowHeight="15" x14ac:dyDescent="0.2"/>
  <cols>
    <col min="1" max="1" width="22.5546875" bestFit="1" customWidth="1"/>
    <col min="2" max="8" width="11.21875" bestFit="1" customWidth="1"/>
    <col min="9" max="9" width="12.6640625" bestFit="1" customWidth="1"/>
    <col min="10" max="10" width="12.44140625" customWidth="1"/>
  </cols>
  <sheetData>
    <row r="1" spans="1:12" x14ac:dyDescent="0.2">
      <c r="B1" s="86" t="s">
        <v>66</v>
      </c>
      <c r="C1" s="86" t="s">
        <v>67</v>
      </c>
      <c r="D1" s="86" t="s">
        <v>68</v>
      </c>
      <c r="E1" s="86" t="s">
        <v>69</v>
      </c>
      <c r="F1" s="86" t="s">
        <v>70</v>
      </c>
      <c r="G1" s="86" t="s">
        <v>84</v>
      </c>
      <c r="H1" s="86" t="s">
        <v>86</v>
      </c>
      <c r="I1" s="86" t="s">
        <v>106</v>
      </c>
      <c r="J1" s="86" t="s">
        <v>110</v>
      </c>
      <c r="K1" s="93" t="s">
        <v>68</v>
      </c>
      <c r="L1" s="93" t="s">
        <v>110</v>
      </c>
    </row>
    <row r="2" spans="1:12" x14ac:dyDescent="0.2">
      <c r="A2" s="1" t="s">
        <v>71</v>
      </c>
      <c r="B2" s="95">
        <v>260462406</v>
      </c>
      <c r="C2" s="95">
        <v>284424252</v>
      </c>
      <c r="D2" s="95">
        <v>259752769</v>
      </c>
      <c r="E2" s="95">
        <v>265294531</v>
      </c>
      <c r="F2" s="95">
        <v>272448581</v>
      </c>
      <c r="G2" s="95">
        <v>279528229</v>
      </c>
      <c r="H2" s="95">
        <v>296920896</v>
      </c>
      <c r="I2" s="95">
        <v>314296445</v>
      </c>
      <c r="J2" s="87">
        <f>+Summary!N13</f>
        <v>327805627</v>
      </c>
      <c r="K2" s="114">
        <f>+D2/D$15</f>
        <v>0.33180123187676602</v>
      </c>
      <c r="L2" s="114">
        <f>+J2/J$15</f>
        <v>0.29086474840446142</v>
      </c>
    </row>
    <row r="3" spans="1:12" x14ac:dyDescent="0.2">
      <c r="A3" s="1" t="s">
        <v>16</v>
      </c>
      <c r="B3" s="95">
        <v>165310852</v>
      </c>
      <c r="C3" s="95">
        <v>166085229</v>
      </c>
      <c r="D3" s="95">
        <v>178913318</v>
      </c>
      <c r="E3" s="95">
        <v>202523068</v>
      </c>
      <c r="F3" s="95">
        <v>228699250</v>
      </c>
      <c r="G3" s="95">
        <v>235123059</v>
      </c>
      <c r="H3" s="95">
        <v>233666485.53</v>
      </c>
      <c r="I3" s="95">
        <v>248253778</v>
      </c>
      <c r="J3" s="87">
        <f>+Summary!N24</f>
        <v>301705636</v>
      </c>
      <c r="K3" s="114">
        <f>+D3/D$15</f>
        <v>0.22853908175877646</v>
      </c>
      <c r="L3" s="114">
        <f>+J3/J$15</f>
        <v>0.26770600221376928</v>
      </c>
    </row>
    <row r="4" spans="1:12" x14ac:dyDescent="0.2">
      <c r="A4" s="1" t="s">
        <v>72</v>
      </c>
      <c r="B4" s="95">
        <v>63037365</v>
      </c>
      <c r="C4" s="95">
        <v>66938853</v>
      </c>
      <c r="D4" s="95">
        <v>82205720</v>
      </c>
      <c r="E4" s="95">
        <v>97183448</v>
      </c>
      <c r="F4" s="95">
        <v>108825988</v>
      </c>
      <c r="G4" s="95">
        <v>119816276</v>
      </c>
      <c r="H4" s="95">
        <v>125411912</v>
      </c>
      <c r="I4" s="95">
        <v>127109732</v>
      </c>
      <c r="J4" s="87">
        <f>+Summary!N16</f>
        <v>137204537</v>
      </c>
      <c r="K4" s="114">
        <f>+D4/D$15</f>
        <v>0.10500738555482542</v>
      </c>
      <c r="L4" s="114">
        <f>+J4/J$15</f>
        <v>0.12174276414863257</v>
      </c>
    </row>
    <row r="5" spans="1:12" x14ac:dyDescent="0.2">
      <c r="A5" s="1" t="s">
        <v>20</v>
      </c>
      <c r="B5" s="95">
        <v>41532762</v>
      </c>
      <c r="C5" s="95">
        <v>52722258</v>
      </c>
      <c r="D5" s="95">
        <v>77991479</v>
      </c>
      <c r="E5" s="95">
        <v>80666240</v>
      </c>
      <c r="F5" s="95">
        <v>89412979</v>
      </c>
      <c r="G5" s="95">
        <v>95170625</v>
      </c>
      <c r="H5" s="95">
        <v>94717922</v>
      </c>
      <c r="I5" s="95">
        <v>100955358</v>
      </c>
      <c r="J5" s="87">
        <f>+Summary!N28</f>
        <v>116389676</v>
      </c>
      <c r="K5" s="114">
        <f>+D5/D$15</f>
        <v>9.9624226943624716E-2</v>
      </c>
      <c r="L5" s="114">
        <f>+J5/J$15</f>
        <v>0.10327355920164477</v>
      </c>
    </row>
    <row r="6" spans="1:12" x14ac:dyDescent="0.2">
      <c r="A6" s="1" t="s">
        <v>14</v>
      </c>
      <c r="B6" s="96">
        <v>41998721</v>
      </c>
      <c r="C6" s="96">
        <v>46463382</v>
      </c>
      <c r="D6" s="96">
        <v>49115959</v>
      </c>
      <c r="E6" s="96">
        <v>51933422</v>
      </c>
      <c r="F6" s="96">
        <v>52006853</v>
      </c>
      <c r="G6" s="96">
        <v>49669497</v>
      </c>
      <c r="H6" s="96">
        <v>60248455</v>
      </c>
      <c r="I6" s="96">
        <v>53727411</v>
      </c>
      <c r="J6" s="88">
        <f>+Summary!N22</f>
        <v>69957467</v>
      </c>
      <c r="K6" s="114">
        <f>+D6/D$15</f>
        <v>6.2739410878075122E-2</v>
      </c>
      <c r="L6" s="114">
        <f>+J6/J$15</f>
        <v>6.2073861343351543E-2</v>
      </c>
    </row>
    <row r="7" spans="1:12" x14ac:dyDescent="0.2">
      <c r="A7" s="1" t="s">
        <v>19</v>
      </c>
      <c r="B7" s="96">
        <v>58761565</v>
      </c>
      <c r="C7" s="96">
        <v>63640344</v>
      </c>
      <c r="D7" s="96">
        <v>42815556</v>
      </c>
      <c r="E7" s="96">
        <v>41214167</v>
      </c>
      <c r="F7" s="96">
        <v>40369744</v>
      </c>
      <c r="G7" s="96">
        <v>41522693</v>
      </c>
      <c r="H7" s="96">
        <v>41496881</v>
      </c>
      <c r="I7" s="96">
        <v>53922434</v>
      </c>
      <c r="J7" s="88">
        <f>+Summary!N27</f>
        <v>37703456</v>
      </c>
      <c r="K7" s="114"/>
      <c r="L7" s="114"/>
    </row>
    <row r="8" spans="1:12" x14ac:dyDescent="0.2">
      <c r="A8" s="1" t="s">
        <v>18</v>
      </c>
      <c r="B8" s="96">
        <v>30551190</v>
      </c>
      <c r="C8" s="96">
        <v>35898977</v>
      </c>
      <c r="D8" s="96">
        <v>35616693</v>
      </c>
      <c r="E8" s="96">
        <v>31506726</v>
      </c>
      <c r="F8" s="96">
        <v>35258587</v>
      </c>
      <c r="G8" s="96">
        <v>41039617</v>
      </c>
      <c r="H8" s="96">
        <v>42875927.640000001</v>
      </c>
      <c r="I8" s="96">
        <v>43797552</v>
      </c>
      <c r="J8" s="88">
        <f>+Summary!N26</f>
        <v>49478627</v>
      </c>
      <c r="K8" s="114"/>
      <c r="L8" s="114"/>
    </row>
    <row r="9" spans="1:12" x14ac:dyDescent="0.2">
      <c r="A9" s="1" t="s">
        <v>17</v>
      </c>
      <c r="B9" s="96">
        <v>16419445</v>
      </c>
      <c r="C9" s="96">
        <v>18775001</v>
      </c>
      <c r="D9" s="96">
        <v>18708628</v>
      </c>
      <c r="E9" s="96">
        <v>27032818</v>
      </c>
      <c r="F9" s="96">
        <v>33309177</v>
      </c>
      <c r="G9" s="96">
        <v>26981445</v>
      </c>
      <c r="H9" s="96">
        <v>28005012.710000001</v>
      </c>
      <c r="I9" s="96">
        <v>29078797</v>
      </c>
      <c r="J9" s="88">
        <f>+Summary!N25</f>
        <v>18879064</v>
      </c>
      <c r="K9" s="114"/>
      <c r="L9" s="114"/>
    </row>
    <row r="10" spans="1:12" x14ac:dyDescent="0.2">
      <c r="A10" s="1" t="s">
        <v>21</v>
      </c>
      <c r="B10" s="96">
        <v>7232824</v>
      </c>
      <c r="C10" s="96">
        <v>8697766</v>
      </c>
      <c r="D10" s="96">
        <v>8751975</v>
      </c>
      <c r="E10" s="96">
        <v>12821860</v>
      </c>
      <c r="F10" s="96">
        <v>14806379</v>
      </c>
      <c r="G10" s="96">
        <v>14866709</v>
      </c>
      <c r="H10" s="96">
        <v>16807325</v>
      </c>
      <c r="I10" s="96">
        <v>17022432</v>
      </c>
      <c r="J10" s="88">
        <f>+Summary!N29</f>
        <v>16934905</v>
      </c>
      <c r="K10" s="114"/>
      <c r="L10" s="114"/>
    </row>
    <row r="11" spans="1:12" x14ac:dyDescent="0.2">
      <c r="A11" s="1" t="s">
        <v>22</v>
      </c>
      <c r="B11" s="96">
        <v>11536532</v>
      </c>
      <c r="C11" s="96">
        <v>10342031</v>
      </c>
      <c r="D11" s="96">
        <v>10749057</v>
      </c>
      <c r="E11" s="96">
        <v>10864130</v>
      </c>
      <c r="F11" s="96">
        <v>11187283</v>
      </c>
      <c r="G11" s="96">
        <v>9270699</v>
      </c>
      <c r="H11" s="96">
        <v>20173732</v>
      </c>
      <c r="I11" s="96">
        <v>18696177</v>
      </c>
      <c r="J11" s="88">
        <f>+Summary!N30</f>
        <v>32068551</v>
      </c>
      <c r="K11" s="114"/>
      <c r="L11" s="114"/>
    </row>
    <row r="12" spans="1:12" x14ac:dyDescent="0.2">
      <c r="A12" s="1" t="s">
        <v>57</v>
      </c>
      <c r="B12" s="96">
        <v>13011300</v>
      </c>
      <c r="C12" s="96">
        <v>15906700</v>
      </c>
      <c r="D12" s="96">
        <v>13635900</v>
      </c>
      <c r="E12" s="96">
        <v>11964700</v>
      </c>
      <c r="F12" s="96">
        <v>10020500</v>
      </c>
      <c r="G12" s="96">
        <v>9519600</v>
      </c>
      <c r="H12" s="96">
        <v>7624800</v>
      </c>
      <c r="I12" s="96">
        <v>7851500</v>
      </c>
      <c r="J12" s="88">
        <f>+Summary!N15</f>
        <v>9452100</v>
      </c>
      <c r="K12" s="114"/>
      <c r="L12" s="114"/>
    </row>
    <row r="13" spans="1:12" x14ac:dyDescent="0.2">
      <c r="A13" s="1" t="s">
        <v>15</v>
      </c>
      <c r="B13" s="96">
        <v>4594600</v>
      </c>
      <c r="C13" s="96">
        <v>4594600</v>
      </c>
      <c r="D13" s="96">
        <v>4599500</v>
      </c>
      <c r="E13" s="96">
        <v>4599500</v>
      </c>
      <c r="F13" s="96">
        <v>4599500</v>
      </c>
      <c r="G13" s="96">
        <v>4599500</v>
      </c>
      <c r="H13" s="96">
        <v>4599500</v>
      </c>
      <c r="I13" s="96">
        <v>4782000</v>
      </c>
      <c r="J13" s="88">
        <f>+Summary!N23</f>
        <v>4883700</v>
      </c>
      <c r="K13" s="114"/>
      <c r="L13" s="114"/>
    </row>
    <row r="14" spans="1:12" x14ac:dyDescent="0.2">
      <c r="A14" s="1" t="s">
        <v>88</v>
      </c>
      <c r="B14" s="95"/>
      <c r="C14" s="95"/>
      <c r="D14" s="95"/>
      <c r="E14" s="95"/>
      <c r="F14" s="95"/>
      <c r="G14" s="95">
        <v>5605383</v>
      </c>
      <c r="H14" s="95">
        <v>4912300</v>
      </c>
      <c r="I14" s="95">
        <v>3927600</v>
      </c>
      <c r="J14" s="87">
        <f>+Summary!N14</f>
        <v>4540283</v>
      </c>
      <c r="K14" s="114"/>
      <c r="L14" s="114"/>
    </row>
    <row r="15" spans="1:12" x14ac:dyDescent="0.2">
      <c r="A15" s="1" t="s">
        <v>23</v>
      </c>
      <c r="B15" s="89">
        <f t="shared" ref="B15:J15" si="0">SUM(B2:B14)</f>
        <v>714449562</v>
      </c>
      <c r="C15" s="89">
        <f t="shared" si="0"/>
        <v>774489393</v>
      </c>
      <c r="D15" s="89">
        <f t="shared" si="0"/>
        <v>782856554</v>
      </c>
      <c r="E15" s="89">
        <f t="shared" si="0"/>
        <v>837604610</v>
      </c>
      <c r="F15" s="89">
        <f t="shared" si="0"/>
        <v>900944821</v>
      </c>
      <c r="G15" s="89">
        <f t="shared" si="0"/>
        <v>932713332</v>
      </c>
      <c r="H15" s="89">
        <f t="shared" si="0"/>
        <v>977461148.88</v>
      </c>
      <c r="I15" s="89">
        <f t="shared" si="0"/>
        <v>1023421216</v>
      </c>
      <c r="J15" s="89">
        <f t="shared" si="0"/>
        <v>1127003629</v>
      </c>
      <c r="K15" s="114"/>
      <c r="L15" s="114"/>
    </row>
    <row r="16" spans="1:12" x14ac:dyDescent="0.2">
      <c r="B16" s="90"/>
      <c r="C16" s="90"/>
      <c r="D16" s="90"/>
      <c r="E16" s="90"/>
      <c r="F16" s="90"/>
      <c r="G16" s="90"/>
      <c r="H16" s="90"/>
      <c r="I16" s="90"/>
      <c r="J16" s="90"/>
      <c r="K16" s="114"/>
      <c r="L16" s="114"/>
    </row>
    <row r="17" spans="1:12" x14ac:dyDescent="0.2">
      <c r="A17" s="1" t="s">
        <v>24</v>
      </c>
      <c r="B17" s="96">
        <v>211664903</v>
      </c>
      <c r="C17" s="96">
        <v>235376162</v>
      </c>
      <c r="D17" s="96">
        <v>240661809</v>
      </c>
      <c r="E17" s="96">
        <v>249655901</v>
      </c>
      <c r="F17" s="96">
        <v>260771739</v>
      </c>
      <c r="G17" s="96">
        <v>266669177</v>
      </c>
      <c r="H17" s="96">
        <v>287421565.52999997</v>
      </c>
      <c r="I17" s="96">
        <v>295923196</v>
      </c>
      <c r="J17" s="88">
        <f>+Summary!N37</f>
        <v>302629972</v>
      </c>
      <c r="K17" s="114">
        <f t="shared" ref="K17:K26" si="1">+D17/D$28</f>
        <v>0.30775172271254936</v>
      </c>
      <c r="L17" s="114">
        <f t="shared" ref="L17:L26" si="2">+J17/J$28</f>
        <v>0.268338790278559</v>
      </c>
    </row>
    <row r="18" spans="1:12" x14ac:dyDescent="0.2">
      <c r="A18" s="1" t="s">
        <v>32</v>
      </c>
      <c r="B18" s="96">
        <v>141681428</v>
      </c>
      <c r="C18" s="96">
        <v>138472486</v>
      </c>
      <c r="D18" s="96">
        <v>142553439</v>
      </c>
      <c r="E18" s="96">
        <v>152827088</v>
      </c>
      <c r="F18" s="96">
        <v>164407479</v>
      </c>
      <c r="G18" s="96">
        <v>170763376</v>
      </c>
      <c r="H18" s="96">
        <v>163651500</v>
      </c>
      <c r="I18" s="96">
        <v>169710847</v>
      </c>
      <c r="J18" s="88">
        <f>+Summary!N45</f>
        <v>229267194</v>
      </c>
      <c r="K18" s="114">
        <f t="shared" si="1"/>
        <v>0.18229342916161792</v>
      </c>
      <c r="L18" s="114">
        <f t="shared" si="2"/>
        <v>0.20328879219048304</v>
      </c>
    </row>
    <row r="19" spans="1:12" x14ac:dyDescent="0.2">
      <c r="A19" s="1" t="s">
        <v>73</v>
      </c>
      <c r="B19" s="96">
        <v>84674266</v>
      </c>
      <c r="C19" s="96">
        <v>101038914</v>
      </c>
      <c r="D19" s="96">
        <v>104131051</v>
      </c>
      <c r="E19" s="96">
        <v>114611377</v>
      </c>
      <c r="F19" s="96">
        <v>124022367</v>
      </c>
      <c r="G19" s="96">
        <v>124290665</v>
      </c>
      <c r="H19" s="96">
        <v>123868963.69</v>
      </c>
      <c r="I19" s="96">
        <v>135638947</v>
      </c>
      <c r="J19" s="88">
        <f>+Summary!N46</f>
        <v>147822542</v>
      </c>
      <c r="K19" s="114">
        <f t="shared" si="1"/>
        <v>0.13315993287958014</v>
      </c>
      <c r="L19" s="114">
        <f t="shared" si="2"/>
        <v>0.13107268204149153</v>
      </c>
    </row>
    <row r="20" spans="1:12" x14ac:dyDescent="0.2">
      <c r="A20" s="1" t="s">
        <v>25</v>
      </c>
      <c r="B20" s="96">
        <v>74587722</v>
      </c>
      <c r="C20" s="96">
        <v>83439636</v>
      </c>
      <c r="D20" s="96">
        <v>83451720</v>
      </c>
      <c r="E20" s="96">
        <v>98250969</v>
      </c>
      <c r="F20" s="96">
        <v>116516484</v>
      </c>
      <c r="G20" s="96">
        <v>121991399</v>
      </c>
      <c r="H20" s="96">
        <v>120728803.12</v>
      </c>
      <c r="I20" s="96">
        <v>129378452</v>
      </c>
      <c r="J20" s="88">
        <f>+Summary!N38</f>
        <v>124626905</v>
      </c>
      <c r="K20" s="114">
        <f t="shared" si="1"/>
        <v>0.10671577139738575</v>
      </c>
      <c r="L20" s="114">
        <f t="shared" si="2"/>
        <v>0.11050535643528692</v>
      </c>
    </row>
    <row r="21" spans="1:12" x14ac:dyDescent="0.2">
      <c r="A21" s="1" t="s">
        <v>30</v>
      </c>
      <c r="B21" s="96">
        <v>53666156</v>
      </c>
      <c r="C21" s="96">
        <v>57631458</v>
      </c>
      <c r="D21" s="96">
        <v>56483517</v>
      </c>
      <c r="E21" s="96">
        <v>60013218</v>
      </c>
      <c r="F21" s="96">
        <v>61335256</v>
      </c>
      <c r="G21" s="96">
        <v>69124860</v>
      </c>
      <c r="H21" s="96">
        <v>79086293</v>
      </c>
      <c r="I21" s="96">
        <v>82296849</v>
      </c>
      <c r="J21" s="88">
        <f>+Summary!N43</f>
        <v>91268376</v>
      </c>
      <c r="K21" s="114">
        <f t="shared" si="1"/>
        <v>7.2229572834356812E-2</v>
      </c>
      <c r="L21" s="114">
        <f t="shared" si="2"/>
        <v>8.0926702152715621E-2</v>
      </c>
    </row>
    <row r="22" spans="1:12" x14ac:dyDescent="0.2">
      <c r="A22" s="1" t="s">
        <v>31</v>
      </c>
      <c r="B22" s="96">
        <f>38714519+1705848+547646</f>
        <v>40968013</v>
      </c>
      <c r="C22" s="96">
        <f>43009964+1730000+8632</f>
        <v>44748596</v>
      </c>
      <c r="D22" s="96">
        <f>41757534+1747300+8718</f>
        <v>43513552</v>
      </c>
      <c r="E22" s="96">
        <v>43035888</v>
      </c>
      <c r="F22" s="96">
        <v>46553292</v>
      </c>
      <c r="G22" s="96">
        <v>49227111</v>
      </c>
      <c r="H22" s="96">
        <v>66870061</v>
      </c>
      <c r="I22" s="96">
        <v>65154483</v>
      </c>
      <c r="J22" s="88">
        <f>+Summary!N44</f>
        <v>63205860</v>
      </c>
      <c r="K22" s="114">
        <f t="shared" si="1"/>
        <v>5.5643937212082113E-2</v>
      </c>
      <c r="L22" s="114">
        <f t="shared" si="2"/>
        <v>5.6043966494224051E-2</v>
      </c>
    </row>
    <row r="23" spans="1:12" x14ac:dyDescent="0.2">
      <c r="A23" s="1" t="s">
        <v>27</v>
      </c>
      <c r="B23" s="96">
        <v>39761895</v>
      </c>
      <c r="C23" s="96">
        <v>42003868</v>
      </c>
      <c r="D23" s="96">
        <v>41083229</v>
      </c>
      <c r="E23" s="96">
        <v>43926747</v>
      </c>
      <c r="F23" s="96">
        <v>45847818</v>
      </c>
      <c r="G23" s="96">
        <v>38362697</v>
      </c>
      <c r="H23" s="96">
        <v>40169689</v>
      </c>
      <c r="I23" s="96">
        <v>45332876</v>
      </c>
      <c r="J23" s="88">
        <f>+Summary!N40+Summary!N48</f>
        <v>49104474</v>
      </c>
      <c r="K23" s="114">
        <f t="shared" si="1"/>
        <v>5.2536106796006704E-2</v>
      </c>
      <c r="L23" s="114">
        <f t="shared" si="2"/>
        <v>4.3540416910275347E-2</v>
      </c>
    </row>
    <row r="24" spans="1:12" x14ac:dyDescent="0.2">
      <c r="A24" s="1" t="s">
        <v>26</v>
      </c>
      <c r="B24" s="96">
        <v>25956234</v>
      </c>
      <c r="C24" s="96">
        <v>27280224</v>
      </c>
      <c r="D24" s="96">
        <v>28038546</v>
      </c>
      <c r="E24" s="96">
        <v>31177083</v>
      </c>
      <c r="F24" s="96">
        <v>34587177</v>
      </c>
      <c r="G24" s="96">
        <v>36561461</v>
      </c>
      <c r="H24" s="96">
        <v>40459200.230000004</v>
      </c>
      <c r="I24" s="96">
        <v>47059968</v>
      </c>
      <c r="J24" s="88">
        <f>+Summary!N39</f>
        <v>51500107</v>
      </c>
      <c r="K24" s="114">
        <f t="shared" si="1"/>
        <v>3.5854923844003267E-2</v>
      </c>
      <c r="L24" s="114">
        <f t="shared" si="2"/>
        <v>4.5664599313369893E-2</v>
      </c>
    </row>
    <row r="25" spans="1:12" x14ac:dyDescent="0.2">
      <c r="A25" s="1" t="s">
        <v>29</v>
      </c>
      <c r="B25" s="96">
        <v>23161858</v>
      </c>
      <c r="C25" s="96">
        <v>24874419</v>
      </c>
      <c r="D25" s="96">
        <v>24114179</v>
      </c>
      <c r="E25" s="96">
        <v>24655340</v>
      </c>
      <c r="F25" s="96">
        <v>25932656</v>
      </c>
      <c r="G25" s="96">
        <v>28582295</v>
      </c>
      <c r="H25" s="96">
        <v>29736732</v>
      </c>
      <c r="I25" s="96">
        <v>32972253</v>
      </c>
      <c r="J25" s="88">
        <f>+Summary!N42</f>
        <v>29749000</v>
      </c>
      <c r="K25" s="114">
        <f t="shared" si="1"/>
        <v>3.0836550925488895E-2</v>
      </c>
      <c r="L25" s="114">
        <f t="shared" si="2"/>
        <v>2.6378123155616762E-2</v>
      </c>
    </row>
    <row r="26" spans="1:12" x14ac:dyDescent="0.2">
      <c r="A26" s="1" t="s">
        <v>28</v>
      </c>
      <c r="B26" s="96">
        <v>17541720</v>
      </c>
      <c r="C26" s="96">
        <v>18601380</v>
      </c>
      <c r="D26" s="96">
        <v>17968834</v>
      </c>
      <c r="E26" s="96">
        <v>18428901</v>
      </c>
      <c r="F26" s="96">
        <v>19466184</v>
      </c>
      <c r="G26" s="96">
        <v>20092873</v>
      </c>
      <c r="H26" s="96">
        <v>20792704</v>
      </c>
      <c r="I26" s="96">
        <v>21454773</v>
      </c>
      <c r="J26" s="88">
        <f>+Summary!N41</f>
        <v>23412128</v>
      </c>
      <c r="K26" s="114">
        <f t="shared" si="1"/>
        <v>2.2978052236929E-2</v>
      </c>
      <c r="L26" s="114">
        <f t="shared" si="2"/>
        <v>2.0759285882519195E-2</v>
      </c>
    </row>
    <row r="27" spans="1:12" x14ac:dyDescent="0.2">
      <c r="A27" s="1" t="s">
        <v>87</v>
      </c>
      <c r="B27" s="95"/>
      <c r="C27" s="95"/>
      <c r="D27" s="95"/>
      <c r="E27" s="95"/>
      <c r="F27" s="95"/>
      <c r="G27" s="95">
        <v>6336879</v>
      </c>
      <c r="H27" s="95">
        <v>5323400</v>
      </c>
      <c r="I27" s="95">
        <v>4363300</v>
      </c>
      <c r="J27" s="87">
        <f>+Summary!N49</f>
        <v>15204067</v>
      </c>
    </row>
    <row r="28" spans="1:12" x14ac:dyDescent="0.2">
      <c r="A28" s="1" t="s">
        <v>34</v>
      </c>
      <c r="B28" s="89">
        <f t="shared" ref="B28:J28" si="3">SUM(B17:B27)</f>
        <v>713664195</v>
      </c>
      <c r="C28" s="89">
        <f t="shared" si="3"/>
        <v>773467143</v>
      </c>
      <c r="D28" s="89">
        <f t="shared" si="3"/>
        <v>781999876</v>
      </c>
      <c r="E28" s="89">
        <f t="shared" si="3"/>
        <v>836582512</v>
      </c>
      <c r="F28" s="89">
        <f t="shared" si="3"/>
        <v>899440452</v>
      </c>
      <c r="G28" s="89">
        <f t="shared" si="3"/>
        <v>932002793</v>
      </c>
      <c r="H28" s="89">
        <f t="shared" si="3"/>
        <v>978108911.57000005</v>
      </c>
      <c r="I28" s="89">
        <f t="shared" si="3"/>
        <v>1029285944</v>
      </c>
      <c r="J28" s="89">
        <f t="shared" si="3"/>
        <v>1127790625</v>
      </c>
    </row>
    <row r="29" spans="1:12" x14ac:dyDescent="0.2">
      <c r="F29" s="90"/>
      <c r="G29" s="90"/>
      <c r="H29" s="90"/>
      <c r="I29" s="90"/>
      <c r="J29" s="90"/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I6" activeCellId="1" sqref="I4 I6"/>
    </sheetView>
  </sheetViews>
  <sheetFormatPr defaultRowHeight="15" x14ac:dyDescent="0.2"/>
  <cols>
    <col min="1" max="1" width="22.5546875" bestFit="1" customWidth="1"/>
    <col min="2" max="9" width="10.88671875" bestFit="1" customWidth="1"/>
  </cols>
  <sheetData>
    <row r="1" spans="1:9" x14ac:dyDescent="0.2">
      <c r="B1" s="86" t="s">
        <v>66</v>
      </c>
      <c r="C1" s="86" t="s">
        <v>67</v>
      </c>
      <c r="D1" s="86" t="s">
        <v>68</v>
      </c>
      <c r="E1" s="86" t="s">
        <v>69</v>
      </c>
      <c r="F1" s="86" t="s">
        <v>70</v>
      </c>
      <c r="G1" s="86" t="s">
        <v>84</v>
      </c>
      <c r="H1" s="86" t="s">
        <v>86</v>
      </c>
      <c r="I1" s="86" t="s">
        <v>106</v>
      </c>
    </row>
    <row r="2" spans="1:9" x14ac:dyDescent="0.2">
      <c r="A2" s="1" t="s">
        <v>71</v>
      </c>
      <c r="B2" s="112">
        <f>+'Chart Data $'!B2/'Chart Data $'!B$15</f>
        <v>0.36456374228976013</v>
      </c>
      <c r="C2" s="112">
        <f>+'Chart Data $'!C2/'Chart Data $'!C$15</f>
        <v>0.36724099073620237</v>
      </c>
      <c r="D2" s="112">
        <f>+'Chart Data $'!D2/'Chart Data $'!D$15</f>
        <v>0.33180123187676602</v>
      </c>
      <c r="E2" s="112">
        <f>+'Chart Data $'!E2/'Chart Data $'!E$15</f>
        <v>0.31673002730966343</v>
      </c>
      <c r="F2" s="112">
        <f>+'Chart Data $'!F2/'Chart Data $'!F$15</f>
        <v>0.30240318235871183</v>
      </c>
      <c r="G2" s="112">
        <f>+'Chart Data $'!G2/'Chart Data $'!G$15</f>
        <v>0.29969361368579645</v>
      </c>
      <c r="H2" s="112">
        <f>+'Chart Data $'!H2/'Chart Data $'!H$15</f>
        <v>0.30376746568415486</v>
      </c>
      <c r="I2" s="112">
        <f>+'Chart Data $'!J2/'Chart Data $'!J$15</f>
        <v>0.29086474840446142</v>
      </c>
    </row>
    <row r="3" spans="1:9" x14ac:dyDescent="0.2">
      <c r="A3" s="1" t="s">
        <v>16</v>
      </c>
      <c r="B3" s="112">
        <f>+'Chart Data $'!B3/'Chart Data $'!B$15</f>
        <v>0.2313821167966508</v>
      </c>
      <c r="C3" s="112">
        <f>+'Chart Data $'!C3/'Chart Data $'!C$15</f>
        <v>0.21444480776769012</v>
      </c>
      <c r="D3" s="112">
        <f>+'Chart Data $'!D3/'Chart Data $'!D$15</f>
        <v>0.22853908175877646</v>
      </c>
      <c r="E3" s="112">
        <f>+'Chart Data $'!E3/'Chart Data $'!E$15</f>
        <v>0.24178838748272888</v>
      </c>
      <c r="F3" s="112">
        <f>+'Chart Data $'!F3/'Chart Data $'!F$15</f>
        <v>0.25384379228259085</v>
      </c>
      <c r="G3" s="112">
        <f>+'Chart Data $'!G3/'Chart Data $'!G$15</f>
        <v>0.25208502005201316</v>
      </c>
      <c r="H3" s="112">
        <f>+'Chart Data $'!H3/'Chart Data $'!H$15</f>
        <v>0.23905449929927244</v>
      </c>
      <c r="I3" s="112">
        <f>+'Chart Data $'!J3/'Chart Data $'!J$15</f>
        <v>0.26770600221376928</v>
      </c>
    </row>
    <row r="4" spans="1:9" x14ac:dyDescent="0.2">
      <c r="A4" s="1" t="s">
        <v>72</v>
      </c>
      <c r="B4" s="112">
        <f>+'Chart Data $'!B4/'Chart Data $'!B$15</f>
        <v>8.8232071727409073E-2</v>
      </c>
      <c r="C4" s="112">
        <f>+'Chart Data $'!C4/'Chart Data $'!C$15</f>
        <v>8.6429657533089024E-2</v>
      </c>
      <c r="D4" s="112">
        <f>+'Chart Data $'!D4/'Chart Data $'!D$15</f>
        <v>0.10500738555482542</v>
      </c>
      <c r="E4" s="112">
        <f>+'Chart Data $'!E4/'Chart Data $'!E$15</f>
        <v>0.11602544546644747</v>
      </c>
      <c r="F4" s="112">
        <f>+'Chart Data $'!F4/'Chart Data $'!F$15</f>
        <v>0.12079095796256317</v>
      </c>
      <c r="G4" s="112">
        <f>+'Chart Data $'!G4/'Chart Data $'!G$15</f>
        <v>0.12845991569894274</v>
      </c>
      <c r="H4" s="112">
        <f>+'Chart Data $'!H4/'Chart Data $'!H$15</f>
        <v>0.12830373068402789</v>
      </c>
      <c r="I4" s="112">
        <f>+'Chart Data $'!J4/'Chart Data $'!J$15</f>
        <v>0.12174276414863257</v>
      </c>
    </row>
    <row r="5" spans="1:9" x14ac:dyDescent="0.2">
      <c r="A5" s="1" t="s">
        <v>20</v>
      </c>
      <c r="B5" s="112">
        <f>+'Chart Data $'!B5/'Chart Data $'!B$15</f>
        <v>5.8132531964516759E-2</v>
      </c>
      <c r="C5" s="112">
        <f>+'Chart Data $'!C5/'Chart Data $'!C$15</f>
        <v>6.8073570117957699E-2</v>
      </c>
      <c r="D5" s="112">
        <f>+'Chart Data $'!D5/'Chart Data $'!D$15</f>
        <v>9.9624226943624716E-2</v>
      </c>
      <c r="E5" s="112">
        <f>+'Chart Data $'!E5/'Chart Data $'!E$15</f>
        <v>9.6305869185700874E-2</v>
      </c>
      <c r="F5" s="112">
        <f>+'Chart Data $'!F5/'Chart Data $'!F$15</f>
        <v>9.9243568436029675E-2</v>
      </c>
      <c r="G5" s="112">
        <f>+'Chart Data $'!G5/'Chart Data $'!G$15</f>
        <v>0.10203630819335174</v>
      </c>
      <c r="H5" s="112">
        <f>+'Chart Data $'!H5/'Chart Data $'!H$15</f>
        <v>9.6901981330439799E-2</v>
      </c>
      <c r="I5" s="112">
        <f>+'Chart Data $'!J5/'Chart Data $'!J$15</f>
        <v>0.10327355920164477</v>
      </c>
    </row>
    <row r="6" spans="1:9" x14ac:dyDescent="0.2">
      <c r="A6" s="1" t="s">
        <v>14</v>
      </c>
      <c r="B6" s="112">
        <f>+'Chart Data $'!B6/'Chart Data $'!B$15</f>
        <v>5.8784724960052534E-2</v>
      </c>
      <c r="C6" s="112">
        <f>+'Chart Data $'!C6/'Chart Data $'!C$15</f>
        <v>5.9992276743808165E-2</v>
      </c>
      <c r="D6" s="112">
        <f>+'Chart Data $'!D6/'Chart Data $'!D$15</f>
        <v>6.2739410878075122E-2</v>
      </c>
      <c r="E6" s="112">
        <f>+'Chart Data $'!E6/'Chart Data $'!E$15</f>
        <v>6.2002311567984324E-2</v>
      </c>
      <c r="F6" s="112">
        <f>+'Chart Data $'!F6/'Chart Data $'!F$15</f>
        <v>5.7724792670737823E-2</v>
      </c>
      <c r="G6" s="112">
        <f>+'Chart Data $'!G6/'Chart Data $'!G$15</f>
        <v>5.3252693293763274E-2</v>
      </c>
      <c r="H6" s="112">
        <f>+'Chart Data $'!H6/'Chart Data $'!H$15</f>
        <v>6.1637697896263416E-2</v>
      </c>
      <c r="I6" s="112">
        <f>+'Chart Data $'!J6/'Chart Data $'!J$15</f>
        <v>6.2073861343351543E-2</v>
      </c>
    </row>
    <row r="7" spans="1:9" x14ac:dyDescent="0.2">
      <c r="A7" s="1" t="s">
        <v>19</v>
      </c>
      <c r="B7" s="112">
        <f>+'Chart Data $'!B7/'Chart Data $'!B$15</f>
        <v>8.2247324549413053E-2</v>
      </c>
      <c r="C7" s="112">
        <f>+'Chart Data $'!C7/'Chart Data $'!C$15</f>
        <v>8.2170710890549281E-2</v>
      </c>
      <c r="D7" s="112">
        <f>+'Chart Data $'!D7/'Chart Data $'!D$15</f>
        <v>5.4691444787980915E-2</v>
      </c>
      <c r="E7" s="112">
        <f>+'Chart Data $'!E7/'Chart Data $'!E$15</f>
        <v>4.9204799624968633E-2</v>
      </c>
      <c r="F7" s="112">
        <f>+'Chart Data $'!F7/'Chart Data $'!F$15</f>
        <v>4.4808231380021442E-2</v>
      </c>
      <c r="G7" s="112">
        <f>+'Chart Data $'!G7/'Chart Data $'!G$15</f>
        <v>4.4518172492467388E-2</v>
      </c>
      <c r="H7" s="112">
        <f>+'Chart Data $'!H7/'Chart Data $'!H$15</f>
        <v>4.2453739514402379E-2</v>
      </c>
      <c r="I7" s="112">
        <f>+'Chart Data $'!J7/'Chart Data $'!J$15</f>
        <v>3.3454600348939961E-2</v>
      </c>
    </row>
    <row r="8" spans="1:9" x14ac:dyDescent="0.2">
      <c r="A8" s="1" t="s">
        <v>18</v>
      </c>
      <c r="B8" s="112">
        <f>+'Chart Data $'!B8/'Chart Data $'!B$15</f>
        <v>4.2761856994461986E-2</v>
      </c>
      <c r="C8" s="112">
        <f>+'Chart Data $'!C8/'Chart Data $'!C$15</f>
        <v>4.6351799423546142E-2</v>
      </c>
      <c r="D8" s="112">
        <f>+'Chart Data $'!D8/'Chart Data $'!D$15</f>
        <v>4.5495809951410331E-2</v>
      </c>
      <c r="E8" s="112">
        <f>+'Chart Data $'!E8/'Chart Data $'!E$15</f>
        <v>3.7615272914985509E-2</v>
      </c>
      <c r="F8" s="112">
        <f>+'Chart Data $'!F8/'Chart Data $'!F$15</f>
        <v>3.9135123681453519E-2</v>
      </c>
      <c r="G8" s="112">
        <f>+'Chart Data $'!G8/'Chart Data $'!G$15</f>
        <v>4.4000247012658762E-2</v>
      </c>
      <c r="H8" s="112">
        <f>+'Chart Data $'!H8/'Chart Data $'!H$15</f>
        <v>4.3864584990542424E-2</v>
      </c>
      <c r="I8" s="112">
        <f>+'Chart Data $'!J8/'Chart Data $'!J$15</f>
        <v>4.3902810715794063E-2</v>
      </c>
    </row>
    <row r="9" spans="1:9" x14ac:dyDescent="0.2">
      <c r="A9" s="1" t="s">
        <v>17</v>
      </c>
      <c r="B9" s="112">
        <f>+'Chart Data $'!B9/'Chart Data $'!B$15</f>
        <v>2.298195124374644E-2</v>
      </c>
      <c r="C9" s="112">
        <f>+'Chart Data $'!C9/'Chart Data $'!C$15</f>
        <v>2.4241779383542831E-2</v>
      </c>
      <c r="D9" s="112">
        <f>+'Chart Data $'!D9/'Chart Data $'!D$15</f>
        <v>2.3897900457508336E-2</v>
      </c>
      <c r="E9" s="112">
        <f>+'Chart Data $'!E9/'Chart Data $'!E$15</f>
        <v>3.2273960383288725E-2</v>
      </c>
      <c r="F9" s="112">
        <f>+'Chart Data $'!F9/'Chart Data $'!F$15</f>
        <v>3.697138406659424E-2</v>
      </c>
      <c r="G9" s="112">
        <f>+'Chart Data $'!G9/'Chart Data $'!G$15</f>
        <v>2.89279075084562E-2</v>
      </c>
      <c r="H9" s="112">
        <f>+'Chart Data $'!H9/'Chart Data $'!H$15</f>
        <v>2.8650768106833566E-2</v>
      </c>
      <c r="I9" s="112">
        <f>+'Chart Data $'!J9/'Chart Data $'!J$15</f>
        <v>1.6751555642062623E-2</v>
      </c>
    </row>
    <row r="10" spans="1:9" x14ac:dyDescent="0.2">
      <c r="A10" s="1" t="s">
        <v>21</v>
      </c>
      <c r="B10" s="112">
        <f>+'Chart Data $'!B10/'Chart Data $'!B$15</f>
        <v>1.012363137259506E-2</v>
      </c>
      <c r="C10" s="112">
        <f>+'Chart Data $'!C10/'Chart Data $'!C$15</f>
        <v>1.1230322943880523E-2</v>
      </c>
      <c r="D10" s="112">
        <f>+'Chart Data $'!D10/'Chart Data $'!D$15</f>
        <v>1.1179538518623681E-2</v>
      </c>
      <c r="E10" s="112">
        <f>+'Chart Data $'!E10/'Chart Data $'!E$15</f>
        <v>1.5307771527188705E-2</v>
      </c>
      <c r="F10" s="112">
        <f>+'Chart Data $'!F10/'Chart Data $'!F$15</f>
        <v>1.6434279497345598E-2</v>
      </c>
      <c r="G10" s="112">
        <f>+'Chart Data $'!G10/'Chart Data $'!G$15</f>
        <v>1.5939204994659603E-2</v>
      </c>
      <c r="H10" s="112">
        <f>+'Chart Data $'!H10/'Chart Data $'!H$15</f>
        <v>1.719487779054775E-2</v>
      </c>
      <c r="I10" s="112">
        <f>+'Chart Data $'!J10/'Chart Data $'!J$15</f>
        <v>1.5026486662715085E-2</v>
      </c>
    </row>
    <row r="11" spans="1:9" x14ac:dyDescent="0.2">
      <c r="A11" s="1" t="s">
        <v>22</v>
      </c>
      <c r="B11" s="112">
        <f>+'Chart Data $'!B11/'Chart Data $'!B$15</f>
        <v>1.614744079022894E-2</v>
      </c>
      <c r="C11" s="112">
        <f>+'Chart Data $'!C11/'Chart Data $'!C$15</f>
        <v>1.3353353956133521E-2</v>
      </c>
      <c r="D11" s="112">
        <f>+'Chart Data $'!D11/'Chart Data $'!D$15</f>
        <v>1.373055759075883E-2</v>
      </c>
      <c r="E11" s="112">
        <f>+'Chart Data $'!E11/'Chart Data $'!E$15</f>
        <v>1.2970475413214357E-2</v>
      </c>
      <c r="F11" s="112">
        <f>+'Chart Data $'!F11/'Chart Data $'!F$15</f>
        <v>1.2417278771393259E-2</v>
      </c>
      <c r="G11" s="112">
        <f>+'Chart Data $'!G11/'Chart Data $'!G$15</f>
        <v>9.939494464093283E-3</v>
      </c>
      <c r="H11" s="112">
        <f>+'Chart Data $'!H11/'Chart Data $'!H$15</f>
        <v>2.0638909304083932E-2</v>
      </c>
      <c r="I11" s="112">
        <f>+'Chart Data $'!J11/'Chart Data $'!J$15</f>
        <v>2.8454700743470278E-2</v>
      </c>
    </row>
    <row r="12" spans="1:9" x14ac:dyDescent="0.2">
      <c r="A12" s="1" t="s">
        <v>57</v>
      </c>
      <c r="B12" s="112">
        <f>+'Chart Data $'!B12/'Chart Data $'!B$15</f>
        <v>1.8211642489606564E-2</v>
      </c>
      <c r="C12" s="112">
        <f>+'Chart Data $'!C12/'Chart Data $'!C$15</f>
        <v>2.0538305809954457E-2</v>
      </c>
      <c r="D12" s="112">
        <f>+'Chart Data $'!D12/'Chart Data $'!D$15</f>
        <v>1.7418133539698257E-2</v>
      </c>
      <c r="E12" s="112">
        <f>+'Chart Data $'!E12/'Chart Data $'!E$15</f>
        <v>1.4284424723975672E-2</v>
      </c>
      <c r="F12" s="112">
        <f>+'Chart Data $'!F12/'Chart Data $'!F$15</f>
        <v>1.1122212777556996E-2</v>
      </c>
      <c r="G12" s="112">
        <f>+'Chart Data $'!G12/'Chart Data $'!G$15</f>
        <v>1.0206351376566364E-2</v>
      </c>
      <c r="H12" s="112">
        <f>+'Chart Data $'!H12/'Chart Data $'!H$15</f>
        <v>7.8006169439436964E-3</v>
      </c>
      <c r="I12" s="112">
        <f>+'Chart Data $'!J12/'Chart Data $'!J$15</f>
        <v>8.3869295153795823E-3</v>
      </c>
    </row>
    <row r="13" spans="1:9" x14ac:dyDescent="0.2">
      <c r="A13" s="1" t="s">
        <v>15</v>
      </c>
      <c r="B13" s="112">
        <f>+'Chart Data $'!B13/'Chart Data $'!B$15</f>
        <v>6.43096482155867E-3</v>
      </c>
      <c r="C13" s="112">
        <f>+'Chart Data $'!C13/'Chart Data $'!C$15</f>
        <v>5.9324246936458686E-3</v>
      </c>
      <c r="D13" s="112">
        <f>+'Chart Data $'!D13/'Chart Data $'!D$15</f>
        <v>5.8752781419519166E-3</v>
      </c>
      <c r="E13" s="112">
        <f>+'Chart Data $'!E13/'Chart Data $'!E$15</f>
        <v>5.4912543998534109E-3</v>
      </c>
      <c r="F13" s="112">
        <f>+'Chart Data $'!F13/'Chart Data $'!F$15</f>
        <v>5.1051961150015866E-3</v>
      </c>
      <c r="G13" s="112">
        <f>+'Chart Data $'!G13/'Chart Data $'!G$15</f>
        <v>4.9313115211266217E-3</v>
      </c>
      <c r="H13" s="112">
        <f>+'Chart Data $'!H13/'Chart Data $'!H$15</f>
        <v>4.7055578682285481E-3</v>
      </c>
      <c r="I13" s="112">
        <f>+'Chart Data $'!J13/'Chart Data $'!J$15</f>
        <v>4.3333489567672009E-3</v>
      </c>
    </row>
    <row r="14" spans="1:9" x14ac:dyDescent="0.2">
      <c r="A14" s="1"/>
      <c r="B14" s="112"/>
      <c r="C14" s="112"/>
      <c r="D14" s="112"/>
      <c r="E14" s="112"/>
      <c r="F14" s="112"/>
      <c r="G14" s="112"/>
      <c r="H14" s="112"/>
      <c r="I14" s="112"/>
    </row>
    <row r="15" spans="1:9" x14ac:dyDescent="0.2">
      <c r="A15" s="1" t="s">
        <v>23</v>
      </c>
      <c r="B15" s="113">
        <f t="shared" ref="B15:G15" si="0">SUM(B2:B13)</f>
        <v>1</v>
      </c>
      <c r="C15" s="113">
        <f t="shared" si="0"/>
        <v>1</v>
      </c>
      <c r="D15" s="113">
        <f t="shared" si="0"/>
        <v>1</v>
      </c>
      <c r="E15" s="113">
        <f t="shared" si="0"/>
        <v>0.99999999999999978</v>
      </c>
      <c r="F15" s="113">
        <f t="shared" si="0"/>
        <v>0.99999999999999989</v>
      </c>
      <c r="G15" s="113">
        <f t="shared" si="0"/>
        <v>0.9939902402938956</v>
      </c>
      <c r="H15" s="113">
        <f>SUM(H2:H13)</f>
        <v>0.99497442941274072</v>
      </c>
      <c r="I15" s="113">
        <f>SUM(I2:I13)</f>
        <v>0.99597136789698837</v>
      </c>
    </row>
    <row r="16" spans="1:9" x14ac:dyDescent="0.2">
      <c r="B16" s="90"/>
      <c r="C16" s="90"/>
      <c r="D16" s="90"/>
      <c r="E16" s="90"/>
      <c r="F16" s="90"/>
      <c r="G16" s="90"/>
      <c r="H16" s="90"/>
      <c r="I16" s="90"/>
    </row>
    <row r="17" spans="1:9" x14ac:dyDescent="0.2">
      <c r="A17" s="1" t="s">
        <v>24</v>
      </c>
      <c r="B17" s="114">
        <f>+'Chart Data $'!B17/'Chart Data $'!B$28</f>
        <v>0.2965889342395831</v>
      </c>
      <c r="C17" s="114">
        <f>+'Chart Data $'!C17/'Chart Data $'!C$28</f>
        <v>0.30431307151207587</v>
      </c>
      <c r="D17" s="114">
        <f>+'Chart Data $'!D17/'Chart Data $'!D$28</f>
        <v>0.30775172271254936</v>
      </c>
      <c r="E17" s="114">
        <f>+'Chart Data $'!E17/'Chart Data $'!E$28</f>
        <v>0.29842352358424629</v>
      </c>
      <c r="F17" s="114">
        <f>+'Chart Data $'!F17/'Chart Data $'!F$28</f>
        <v>0.28992662985097761</v>
      </c>
      <c r="G17" s="114">
        <f>+'Chart Data $'!G17/'Chart Data $'!G$28</f>
        <v>0.28612486894124578</v>
      </c>
      <c r="H17" s="114">
        <f>+'Chart Data $'!H17/'Chart Data $'!H$28</f>
        <v>0.29385435725010278</v>
      </c>
      <c r="I17" s="114">
        <f>+'Chart Data $'!J17/'Chart Data $'!J$28</f>
        <v>0.268338790278559</v>
      </c>
    </row>
    <row r="18" spans="1:9" x14ac:dyDescent="0.2">
      <c r="A18" s="1" t="s">
        <v>32</v>
      </c>
      <c r="B18" s="114">
        <f>+'Chart Data $'!B18/'Chart Data $'!B$28</f>
        <v>0.19852674267902706</v>
      </c>
      <c r="C18" s="114">
        <f>+'Chart Data $'!C18/'Chart Data $'!C$28</f>
        <v>0.17902827192234072</v>
      </c>
      <c r="D18" s="114">
        <f>+'Chart Data $'!D18/'Chart Data $'!D$28</f>
        <v>0.18229342916161792</v>
      </c>
      <c r="E18" s="114">
        <f>+'Chart Data $'!E18/'Chart Data $'!E$28</f>
        <v>0.18268023274194381</v>
      </c>
      <c r="F18" s="114">
        <f>+'Chart Data $'!F18/'Chart Data $'!F$28</f>
        <v>0.18278862000749774</v>
      </c>
      <c r="G18" s="114">
        <f>+'Chart Data $'!G18/'Chart Data $'!G$28</f>
        <v>0.18322195736166641</v>
      </c>
      <c r="H18" s="114">
        <f>+'Chart Data $'!H18/'Chart Data $'!H$28</f>
        <v>0.16731418972281595</v>
      </c>
      <c r="I18" s="114">
        <f>+'Chart Data $'!J18/'Chart Data $'!J$28</f>
        <v>0.20328879219048304</v>
      </c>
    </row>
    <row r="19" spans="1:9" x14ac:dyDescent="0.2">
      <c r="A19" s="1" t="s">
        <v>73</v>
      </c>
      <c r="B19" s="114">
        <f>+'Chart Data $'!B19/'Chart Data $'!B$28</f>
        <v>0.11864721054136673</v>
      </c>
      <c r="C19" s="114">
        <f>+'Chart Data $'!C19/'Chart Data $'!C$28</f>
        <v>0.13063116502674763</v>
      </c>
      <c r="D19" s="114">
        <f>+'Chart Data $'!D19/'Chart Data $'!D$28</f>
        <v>0.13315993287958014</v>
      </c>
      <c r="E19" s="114">
        <f>+'Chart Data $'!E19/'Chart Data $'!E$28</f>
        <v>0.13699948941796669</v>
      </c>
      <c r="F19" s="114">
        <f>+'Chart Data $'!F19/'Chart Data $'!F$28</f>
        <v>0.13788835794990462</v>
      </c>
      <c r="G19" s="114">
        <f>+'Chart Data $'!G19/'Chart Data $'!G$28</f>
        <v>0.13335868297124298</v>
      </c>
      <c r="H19" s="114">
        <f>+'Chart Data $'!H19/'Chart Data $'!H$28</f>
        <v>0.12664127913033035</v>
      </c>
      <c r="I19" s="114">
        <f>+'Chart Data $'!J19/'Chart Data $'!J$28</f>
        <v>0.13107268204149153</v>
      </c>
    </row>
    <row r="20" spans="1:9" x14ac:dyDescent="0.2">
      <c r="A20" s="1" t="s">
        <v>25</v>
      </c>
      <c r="B20" s="114">
        <f>+'Chart Data $'!B20/'Chart Data $'!B$28</f>
        <v>0.10451375103664827</v>
      </c>
      <c r="C20" s="114">
        <f>+'Chart Data $'!C20/'Chart Data $'!C$28</f>
        <v>0.10787741503325889</v>
      </c>
      <c r="D20" s="114">
        <f>+'Chart Data $'!D20/'Chart Data $'!D$28</f>
        <v>0.10671577139738575</v>
      </c>
      <c r="E20" s="114">
        <f>+'Chart Data $'!E20/'Chart Data $'!E$28</f>
        <v>0.11744324987754466</v>
      </c>
      <c r="F20" s="114">
        <f>+'Chart Data $'!F20/'Chart Data $'!F$28</f>
        <v>0.12954329966026479</v>
      </c>
      <c r="G20" s="114">
        <f>+'Chart Data $'!G20/'Chart Data $'!G$28</f>
        <v>0.13089166675920036</v>
      </c>
      <c r="H20" s="114">
        <f>+'Chart Data $'!H20/'Chart Data $'!H$28</f>
        <v>0.12343083852105342</v>
      </c>
      <c r="I20" s="114">
        <f>+'Chart Data $'!J20/'Chart Data $'!J$28</f>
        <v>0.11050535643528692</v>
      </c>
    </row>
    <row r="21" spans="1:9" x14ac:dyDescent="0.2">
      <c r="A21" s="1" t="s">
        <v>30</v>
      </c>
      <c r="B21" s="114">
        <f>+'Chart Data $'!B21/'Chart Data $'!B$28</f>
        <v>7.5198050253873258E-2</v>
      </c>
      <c r="C21" s="114">
        <f>+'Chart Data $'!C21/'Chart Data $'!C$28</f>
        <v>7.451054452871568E-2</v>
      </c>
      <c r="D21" s="114">
        <f>+'Chart Data $'!D21/'Chart Data $'!D$28</f>
        <v>7.2229572834356812E-2</v>
      </c>
      <c r="E21" s="114">
        <f>+'Chart Data $'!E21/'Chart Data $'!E$28</f>
        <v>7.1736161274191204E-2</v>
      </c>
      <c r="F21" s="114">
        <f>+'Chart Data $'!F21/'Chart Data $'!F$28</f>
        <v>6.819268119819899E-2</v>
      </c>
      <c r="G21" s="114">
        <f>+'Chart Data $'!G21/'Chart Data $'!G$28</f>
        <v>7.4168082455521145E-2</v>
      </c>
      <c r="H21" s="114">
        <f>+'Chart Data $'!H21/'Chart Data $'!H$28</f>
        <v>8.0856325982201271E-2</v>
      </c>
      <c r="I21" s="114">
        <f>+'Chart Data $'!J21/'Chart Data $'!J$28</f>
        <v>8.0926702152715621E-2</v>
      </c>
    </row>
    <row r="22" spans="1:9" x14ac:dyDescent="0.2">
      <c r="A22" s="1" t="s">
        <v>31</v>
      </c>
      <c r="B22" s="114">
        <f>+'Chart Data $'!B22/'Chart Data $'!B$28</f>
        <v>5.740516798660468E-2</v>
      </c>
      <c r="C22" s="114">
        <f>+'Chart Data $'!C22/'Chart Data $'!C$28</f>
        <v>5.7854553234719629E-2</v>
      </c>
      <c r="D22" s="114">
        <f>+'Chart Data $'!D22/'Chart Data $'!D$28</f>
        <v>5.5643937212082113E-2</v>
      </c>
      <c r="E22" s="114">
        <f>+'Chart Data $'!E22/'Chart Data $'!E$28</f>
        <v>5.1442490588423873E-2</v>
      </c>
      <c r="F22" s="114">
        <f>+'Chart Data $'!F22/'Chart Data $'!F$28</f>
        <v>5.1758059020454196E-2</v>
      </c>
      <c r="G22" s="114">
        <f>+'Chart Data $'!G22/'Chart Data $'!G$28</f>
        <v>5.2818630340735473E-2</v>
      </c>
      <c r="H22" s="114">
        <f>+'Chart Data $'!H22/'Chart Data $'!H$28</f>
        <v>6.8366682083147889E-2</v>
      </c>
      <c r="I22" s="114">
        <f>+'Chart Data $'!J22/'Chart Data $'!J$28</f>
        <v>5.6043966494224051E-2</v>
      </c>
    </row>
    <row r="23" spans="1:9" x14ac:dyDescent="0.2">
      <c r="A23" s="1" t="s">
        <v>27</v>
      </c>
      <c r="B23" s="114">
        <f>+'Chart Data $'!B23/'Chart Data $'!B$28</f>
        <v>5.5715132240871351E-2</v>
      </c>
      <c r="C23" s="114">
        <f>+'Chart Data $'!C23/'Chart Data $'!C$28</f>
        <v>5.4305950007239027E-2</v>
      </c>
      <c r="D23" s="114">
        <f>+'Chart Data $'!D23/'Chart Data $'!D$28</f>
        <v>5.2536106796006704E-2</v>
      </c>
      <c r="E23" s="114">
        <f>+'Chart Data $'!E23/'Chart Data $'!E$28</f>
        <v>5.2507369410562096E-2</v>
      </c>
      <c r="F23" s="114">
        <f>+'Chart Data $'!F23/'Chart Data $'!F$28</f>
        <v>5.0973711375836582E-2</v>
      </c>
      <c r="G23" s="114">
        <f>+'Chart Data $'!G23/'Chart Data $'!G$28</f>
        <v>4.1161568707874033E-2</v>
      </c>
      <c r="H23" s="114">
        <f>+'Chart Data $'!H23/'Chart Data $'!H$28</f>
        <v>4.1068728159855017E-2</v>
      </c>
      <c r="I23" s="114">
        <f>+'Chart Data $'!J23/'Chart Data $'!J$28</f>
        <v>4.3540416910275347E-2</v>
      </c>
    </row>
    <row r="24" spans="1:9" x14ac:dyDescent="0.2">
      <c r="A24" s="1" t="s">
        <v>26</v>
      </c>
      <c r="B24" s="114">
        <f>+'Chart Data $'!B24/'Chart Data $'!B$28</f>
        <v>3.6370374444804537E-2</v>
      </c>
      <c r="C24" s="114">
        <f>+'Chart Data $'!C24/'Chart Data $'!C$28</f>
        <v>3.5270048956688518E-2</v>
      </c>
      <c r="D24" s="114">
        <f>+'Chart Data $'!D24/'Chart Data $'!D$28</f>
        <v>3.5854923844003267E-2</v>
      </c>
      <c r="E24" s="114">
        <f>+'Chart Data $'!E24/'Chart Data $'!E$28</f>
        <v>3.7267194272882435E-2</v>
      </c>
      <c r="F24" s="114">
        <f>+'Chart Data $'!F24/'Chart Data $'!F$28</f>
        <v>3.8454104352424655E-2</v>
      </c>
      <c r="G24" s="114">
        <f>+'Chart Data $'!G24/'Chart Data $'!G$28</f>
        <v>3.9228917847245123E-2</v>
      </c>
      <c r="H24" s="114">
        <f>+'Chart Data $'!H24/'Chart Data $'!H$28</f>
        <v>4.1364718950425872E-2</v>
      </c>
      <c r="I24" s="114">
        <f>+'Chart Data $'!J24/'Chart Data $'!J$28</f>
        <v>4.5664599313369893E-2</v>
      </c>
    </row>
    <row r="25" spans="1:9" x14ac:dyDescent="0.2">
      <c r="A25" s="1" t="s">
        <v>29</v>
      </c>
      <c r="B25" s="114">
        <f>+'Chart Data $'!B25/'Chart Data $'!B$28</f>
        <v>3.2454841033463924E-2</v>
      </c>
      <c r="C25" s="114">
        <f>+'Chart Data $'!C25/'Chart Data $'!C$28</f>
        <v>3.2159632409879887E-2</v>
      </c>
      <c r="D25" s="114">
        <f>+'Chart Data $'!D25/'Chart Data $'!D$28</f>
        <v>3.0836550925488895E-2</v>
      </c>
      <c r="E25" s="114">
        <f>+'Chart Data $'!E25/'Chart Data $'!E$28</f>
        <v>2.947149820411259E-2</v>
      </c>
      <c r="F25" s="114">
        <f>+'Chart Data $'!F25/'Chart Data $'!F$28</f>
        <v>2.8831987645581234E-2</v>
      </c>
      <c r="G25" s="114">
        <f>+'Chart Data $'!G25/'Chart Data $'!G$28</f>
        <v>3.0667606593749768E-2</v>
      </c>
      <c r="H25" s="114">
        <f>+'Chart Data $'!H25/'Chart Data $'!H$28</f>
        <v>3.0402270798523277E-2</v>
      </c>
      <c r="I25" s="114">
        <f>+'Chart Data $'!J25/'Chart Data $'!J$28</f>
        <v>2.6378123155616762E-2</v>
      </c>
    </row>
    <row r="26" spans="1:9" x14ac:dyDescent="0.2">
      <c r="A26" s="1" t="s">
        <v>28</v>
      </c>
      <c r="B26" s="114">
        <f>+'Chart Data $'!B26/'Chart Data $'!B$28</f>
        <v>2.4579795543757103E-2</v>
      </c>
      <c r="C26" s="114">
        <f>+'Chart Data $'!C26/'Chart Data $'!C$28</f>
        <v>2.4049347368334171E-2</v>
      </c>
      <c r="D26" s="114">
        <f>+'Chart Data $'!D26/'Chart Data $'!D$28</f>
        <v>2.2978052236929E-2</v>
      </c>
      <c r="E26" s="114">
        <f>+'Chart Data $'!E26/'Chart Data $'!E$28</f>
        <v>2.2028790628126349E-2</v>
      </c>
      <c r="F26" s="114">
        <f>+'Chart Data $'!F26/'Chart Data $'!F$28</f>
        <v>2.1642548938859602E-2</v>
      </c>
      <c r="G26" s="114">
        <f>+'Chart Data $'!G26/'Chart Data $'!G$28</f>
        <v>2.1558812002401371E-2</v>
      </c>
      <c r="H26" s="114">
        <f>+'Chart Data $'!H26/'Chart Data $'!H$28</f>
        <v>2.1258066207192443E-2</v>
      </c>
      <c r="I26" s="114">
        <f>+'Chart Data $'!J26/'Chart Data $'!J$28</f>
        <v>2.0759285882519195E-2</v>
      </c>
    </row>
    <row r="27" spans="1:9" x14ac:dyDescent="0.2">
      <c r="A27" s="1"/>
      <c r="B27" s="112"/>
      <c r="C27" s="112"/>
      <c r="D27" s="112"/>
      <c r="E27" s="112"/>
      <c r="F27" s="112"/>
      <c r="G27" s="112"/>
      <c r="H27" s="112"/>
      <c r="I27" s="112"/>
    </row>
    <row r="28" spans="1:9" x14ac:dyDescent="0.2">
      <c r="A28" s="1" t="s">
        <v>34</v>
      </c>
      <c r="B28" s="113">
        <f t="shared" ref="B28:G28" si="1">SUM(B17:B26)</f>
        <v>1</v>
      </c>
      <c r="C28" s="113">
        <f t="shared" si="1"/>
        <v>1</v>
      </c>
      <c r="D28" s="113">
        <f t="shared" si="1"/>
        <v>1</v>
      </c>
      <c r="E28" s="113">
        <f t="shared" si="1"/>
        <v>0.99999999999999989</v>
      </c>
      <c r="F28" s="113">
        <f t="shared" si="1"/>
        <v>1</v>
      </c>
      <c r="G28" s="113">
        <f t="shared" si="1"/>
        <v>0.99320079398088235</v>
      </c>
      <c r="H28" s="113">
        <f>SUM(H17:H26)</f>
        <v>0.99455745680564822</v>
      </c>
      <c r="I28" s="113">
        <f>SUM(I17:I26)</f>
        <v>0.98651871485454112</v>
      </c>
    </row>
    <row r="29" spans="1:9" x14ac:dyDescent="0.2">
      <c r="F29" s="90"/>
      <c r="G29" s="90"/>
      <c r="H29" s="90"/>
      <c r="I29" s="90"/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G29" sqref="G29"/>
    </sheetView>
  </sheetViews>
  <sheetFormatPr defaultRowHeight="15" x14ac:dyDescent="0.2"/>
  <sheetData/>
  <phoneticPr fontId="0" type="noConversion"/>
  <printOptions horizontalCentered="1"/>
  <pageMargins left="0.75" right="0.75" top="1" bottom="1" header="0.5" footer="0.5"/>
  <pageSetup scale="95" pageOrder="overThenDown" orientation="landscape" r:id="rId1"/>
  <headerFooter alignWithMargins="0">
    <oddFooter>&amp;L&amp;"Arial,Bold"&amp;10CONSENT AGENDA -BAHR - SECTION II&amp;R&amp;08Last Modified: 9/27/2007 9:58:36 AM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G29" sqref="G29"/>
    </sheetView>
  </sheetViews>
  <sheetFormatPr defaultRowHeight="15" x14ac:dyDescent="0.2"/>
  <sheetData/>
  <phoneticPr fontId="0" type="noConversion"/>
  <printOptions horizontalCentered="1"/>
  <pageMargins left="0.75" right="0.75" top="1" bottom="1" header="0.5" footer="0.5"/>
  <pageSetup scale="95" pageOrder="overThenDown" orientation="landscape" r:id="rId1"/>
  <headerFooter alignWithMargins="0">
    <oddFooter>&amp;L&amp;"Arial,Bold"&amp;10CONSENT AGENDA -BAHR - SECTION II&amp;R&amp;08Last Modified: 9/19/2007 4:29:13 PM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21</vt:i4>
      </vt:variant>
    </vt:vector>
  </HeadingPairs>
  <TitlesOfParts>
    <vt:vector size="34" baseType="lpstr">
      <vt:lpstr>Summary</vt:lpstr>
      <vt:lpstr>BSU</vt:lpstr>
      <vt:lpstr>ISU</vt:lpstr>
      <vt:lpstr>UI</vt:lpstr>
      <vt:lpstr>LCSC</vt:lpstr>
      <vt:lpstr>Chart Data $</vt:lpstr>
      <vt:lpstr>Chart Data %</vt:lpstr>
      <vt:lpstr>Revenues $</vt:lpstr>
      <vt:lpstr>Expenses $</vt:lpstr>
      <vt:lpstr>Revenues %</vt:lpstr>
      <vt:lpstr>Expenses %</vt:lpstr>
      <vt:lpstr>Revenues</vt:lpstr>
      <vt:lpstr>Expenditures</vt:lpstr>
      <vt:lpstr>BSU!ALL</vt:lpstr>
      <vt:lpstr>ISU!ALL</vt:lpstr>
      <vt:lpstr>LCSC!ALL</vt:lpstr>
      <vt:lpstr>UI!ALL</vt:lpstr>
      <vt:lpstr>ALL</vt:lpstr>
      <vt:lpstr>Area_print</vt:lpstr>
      <vt:lpstr>Database</vt:lpstr>
      <vt:lpstr>BSU!ISU</vt:lpstr>
      <vt:lpstr>ISU</vt:lpstr>
      <vt:lpstr>UI!LCSC</vt:lpstr>
      <vt:lpstr>LCSC</vt:lpstr>
      <vt:lpstr>BSU!Print_Area</vt:lpstr>
      <vt:lpstr>ISU!Print_Area</vt:lpstr>
      <vt:lpstr>LCSC!Print_Area</vt:lpstr>
      <vt:lpstr>Summary!Print_Area</vt:lpstr>
      <vt:lpstr>UI!Print_Area</vt:lpstr>
      <vt:lpstr>Print_Area</vt:lpstr>
      <vt:lpstr>PRINT_AREA_MI</vt:lpstr>
      <vt:lpstr>SUMMARY</vt:lpstr>
      <vt:lpstr>ISU!UI</vt:lpstr>
      <vt:lpstr>UI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khasselq</dc:creator>
  <cp:lastModifiedBy>Husebye, Melissa</cp:lastModifiedBy>
  <cp:lastPrinted>2009-09-09T23:27:54Z</cp:lastPrinted>
  <dcterms:created xsi:type="dcterms:W3CDTF">2003-07-01T16:55:09Z</dcterms:created>
  <dcterms:modified xsi:type="dcterms:W3CDTF">2012-01-23T23:56:46Z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 Modified">
    <vt:filetime>2008-09-18T19:40:08Z</vt:filetime>
  </property>
</Properties>
</file>