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S:\PPO\ProvostOffice\Faculty\3 Appointments\Salary Calculator\"/>
    </mc:Choice>
  </mc:AlternateContent>
  <xr:revisionPtr revIDLastSave="0" documentId="8_{28E7E9A1-BC98-4377-9A48-E60015645939}" xr6:coauthVersionLast="44" xr6:coauthVersionMax="44" xr10:uidLastSave="{00000000-0000-0000-0000-000000000000}"/>
  <workbookProtection workbookAlgorithmName="SHA-512" workbookHashValue="0XwV3q1T9WTXtELm98O3yaRYaKi3cvZGzAVkkh7txu/c+TDDAle0n7GclBhAaOgz/wRsHZS3kDlxOxX4PoByQg==" workbookSaltValue="FWtLbyNmrW6tBp+vcN/pKQ==" workbookSpinCount="100000" lockStructure="1"/>
  <bookViews>
    <workbookView xWindow="33780" yWindow="3015" windowWidth="18615" windowHeight="4905" xr2:uid="{D9D25D7D-1956-4012-90C0-562ACA6E5C07}"/>
  </bookViews>
  <sheets>
    <sheet name="Calculator" sheetId="4" r:id="rId1"/>
    <sheet name="FY21 Faculty Salary" sheetId="7" r:id="rId2"/>
    <sheet name="FY21 Faculty Longevity" sheetId="2" r:id="rId3"/>
    <sheet name="List Sheet" sheetId="1" r:id="rId4"/>
  </sheets>
  <externalReferences>
    <externalReference r:id="rId5"/>
    <externalReference r:id="rId6"/>
    <externalReference r:id="rId7"/>
    <externalReference r:id="rId8"/>
    <externalReference r:id="rId9"/>
    <externalReference r:id="rId10"/>
  </externalReferences>
  <definedNames>
    <definedName name="CIP_CODE">[1]SalaryByCIP!#REF!</definedName>
    <definedName name="fffff">[2]LongevityTargets!$A$2:$A$173</definedName>
    <definedName name="Go_to_4_digit_CIP_codes">'[3]NSC CIP2010 4-DIGIT CIP CODES'!#REF!</definedName>
    <definedName name="Go_to_6_digit_CIP_codes">'[4]6-DIGIT CIP CODES'!#REF!</definedName>
    <definedName name="Go_to_discipline_definitions_worksheet">'[3]NSC CIP2010 4-DIGIT CIP CODES'!#REF!</definedName>
    <definedName name="Go_to_institutional_basics_worksheet">#REF!</definedName>
    <definedName name="Go_to_ordering_instructions_worksheet">#REF!</definedName>
    <definedName name="Go_to_position_descriptions_worksheet">'[5]POSITION DESCRIPTIONS'!#REF!</definedName>
    <definedName name="INSTRUCTIONS_FOR_ENTERING_EXECUTIVE_BENEFITS">'[4]SURVEY INSTRUCTIONS'!#REF!</definedName>
    <definedName name="_xlnm.Print_Area" localSheetId="0">Calculator!$B$1:$C$27</definedName>
    <definedName name="Rank">#REF!</definedName>
    <definedName name="rxxx">[6]LongevityTargets!#REF!</definedName>
    <definedName name="TargetPercent">#REF!</definedName>
    <definedName name="TimeInRank">#REF!</definedName>
    <definedName name="tirxxx">[6]LongevityTargets!#REF!</definedName>
    <definedName name="tpxxx">[6]LongevityTargets!#REF!</definedName>
    <definedName name="xxxx">'[6]Salary Schedule 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8" i="4" l="1"/>
  <c r="E9" i="4"/>
  <c r="E19" i="4"/>
  <c r="E20" i="4"/>
  <c r="E24" i="4"/>
  <c r="E21" i="4" l="1"/>
  <c r="E22" i="4" s="1"/>
  <c r="E23" i="4" s="1"/>
  <c r="F24" i="4"/>
  <c r="E10" i="4"/>
  <c r="B115" i="7"/>
  <c r="B114" i="7"/>
  <c r="B113" i="7"/>
  <c r="B112" i="7"/>
  <c r="B111" i="7"/>
  <c r="B110" i="7"/>
  <c r="B106" i="7"/>
  <c r="B105" i="7"/>
  <c r="B104" i="7"/>
  <c r="B103" i="7"/>
  <c r="B102" i="7"/>
  <c r="B101" i="7"/>
  <c r="B100" i="7"/>
  <c r="B99" i="7"/>
  <c r="B98" i="7"/>
  <c r="B97" i="7"/>
  <c r="B96" i="7"/>
  <c r="B95" i="7"/>
  <c r="B94" i="7"/>
  <c r="B93" i="7"/>
  <c r="B92" i="7"/>
  <c r="B91" i="7"/>
  <c r="B90" i="7"/>
  <c r="B89" i="7"/>
  <c r="B88" i="7"/>
  <c r="B87" i="7"/>
  <c r="B86" i="7"/>
  <c r="B85" i="7"/>
  <c r="B84" i="7"/>
  <c r="B83" i="7"/>
  <c r="B82" i="7"/>
  <c r="B81" i="7"/>
  <c r="B80" i="7"/>
  <c r="B79" i="7"/>
  <c r="B78" i="7"/>
  <c r="B77" i="7"/>
  <c r="B76" i="7"/>
  <c r="B75" i="7"/>
  <c r="B74" i="7"/>
  <c r="B73" i="7"/>
  <c r="B72" i="7"/>
  <c r="B71" i="7"/>
  <c r="B70" i="7"/>
  <c r="B69" i="7"/>
  <c r="B68" i="7"/>
  <c r="B67" i="7"/>
  <c r="B66" i="7"/>
  <c r="B65" i="7"/>
  <c r="B64" i="7"/>
  <c r="B63" i="7"/>
  <c r="B62" i="7"/>
  <c r="B61" i="7"/>
  <c r="B60" i="7"/>
  <c r="B59" i="7"/>
  <c r="B58" i="7"/>
  <c r="B57" i="7"/>
  <c r="B56" i="7"/>
  <c r="B55" i="7"/>
  <c r="B54" i="7"/>
  <c r="B53" i="7"/>
  <c r="B52" i="7"/>
  <c r="B51" i="7"/>
  <c r="B50" i="7"/>
  <c r="B49" i="7"/>
  <c r="B48" i="7"/>
  <c r="B47" i="7"/>
  <c r="B46" i="7"/>
  <c r="B45" i="7"/>
  <c r="B44" i="7"/>
  <c r="B42" i="7"/>
  <c r="B40" i="7"/>
  <c r="B39" i="7"/>
  <c r="B38" i="7"/>
  <c r="B37" i="7"/>
  <c r="B36" i="7"/>
  <c r="B35" i="7"/>
  <c r="B34" i="7"/>
  <c r="B33" i="7"/>
  <c r="B32" i="7"/>
  <c r="B31" i="7"/>
  <c r="B30" i="7"/>
  <c r="B29" i="7"/>
  <c r="B28" i="7"/>
  <c r="B27" i="7"/>
  <c r="B26" i="7"/>
  <c r="B25" i="7"/>
  <c r="B24" i="7"/>
  <c r="B23" i="7"/>
  <c r="B22" i="7"/>
  <c r="B21" i="7"/>
  <c r="B20" i="7"/>
  <c r="B19" i="7"/>
  <c r="B18" i="7"/>
  <c r="B17" i="7"/>
  <c r="B16" i="7"/>
  <c r="B15" i="7"/>
  <c r="B14" i="7"/>
  <c r="B13" i="7"/>
  <c r="B12" i="7"/>
  <c r="B11" i="7"/>
  <c r="B10" i="7"/>
  <c r="B9" i="7"/>
  <c r="B8" i="7"/>
  <c r="B7" i="7"/>
  <c r="B6" i="7"/>
  <c r="B5" i="7"/>
  <c r="B3" i="7"/>
  <c r="E27" i="4" l="1"/>
  <c r="F27" i="4" s="1"/>
  <c r="G27" i="4" s="1"/>
  <c r="G24" i="4"/>
  <c r="E25" i="4" s="1"/>
  <c r="C26" i="4" s="1"/>
  <c r="E26" i="4" s="1"/>
  <c r="C23" i="4"/>
  <c r="F11" i="4"/>
  <c r="G11" i="4" s="1"/>
  <c r="H11" i="4" s="1"/>
  <c r="C11" i="4"/>
  <c r="E11" i="4"/>
  <c r="E12" i="4" s="1"/>
  <c r="C13" i="4" l="1"/>
  <c r="E13" i="4" s="1"/>
  <c r="F13" i="4" s="1"/>
  <c r="G13" i="4" s="1"/>
  <c r="E14" i="4" s="1"/>
  <c r="F26" i="4" l="1"/>
  <c r="G26" i="4" s="1"/>
  <c r="C27" i="4" s="1"/>
  <c r="C14" i="4"/>
  <c r="E16" i="4" s="1"/>
  <c r="F16" i="4" s="1"/>
  <c r="G16" i="4" s="1"/>
  <c r="C16" i="4" l="1"/>
  <c r="C15" i="4"/>
</calcChain>
</file>

<file path=xl/sharedStrings.xml><?xml version="1.0" encoding="utf-8"?>
<sst xmlns="http://schemas.openxmlformats.org/spreadsheetml/2006/main" count="193" uniqueCount="153">
  <si>
    <t>CIP/Discipline</t>
  </si>
  <si>
    <t>Rank/Title</t>
  </si>
  <si>
    <t>Instructor</t>
  </si>
  <si>
    <t>Senior Instructor</t>
  </si>
  <si>
    <t>Market</t>
  </si>
  <si>
    <t>*Calculation not a list*</t>
  </si>
  <si>
    <t>Academic Year (AY) or Fiscal Year (FY)</t>
  </si>
  <si>
    <t>AY</t>
  </si>
  <si>
    <t>FY</t>
  </si>
  <si>
    <t>FTE</t>
  </si>
  <si>
    <t>Assistant Professor</t>
  </si>
  <si>
    <t>Associate Professor</t>
  </si>
  <si>
    <t>Full Professor</t>
  </si>
  <si>
    <t>Distinguished Professor</t>
  </si>
  <si>
    <t>Longevity</t>
  </si>
  <si>
    <t xml:space="preserve">Tenure-track (TT) or NTT </t>
  </si>
  <si>
    <t>TT</t>
  </si>
  <si>
    <t>NTT</t>
  </si>
  <si>
    <t>Rank Years Completed</t>
  </si>
  <si>
    <t>Post Doc</t>
  </si>
  <si>
    <t>CIP Code &amp; Discipline</t>
  </si>
  <si>
    <t>0101 - Agricultural Business and Management</t>
  </si>
  <si>
    <t>0102 - Agricultural Mechanization</t>
  </si>
  <si>
    <t>0103 - Agricultural Production Operations</t>
  </si>
  <si>
    <t>0108 - Agricultural Public Services</t>
  </si>
  <si>
    <t>0109 - Animal Sciences</t>
  </si>
  <si>
    <t>0110 - Food Science and Technology</t>
  </si>
  <si>
    <t>0111 - Plant Sciences</t>
  </si>
  <si>
    <t>0112 - Soil Sciences</t>
  </si>
  <si>
    <t>0303 - Fishing and Fisheries Sciences and Management</t>
  </si>
  <si>
    <t>0305 - Forestry</t>
  </si>
  <si>
    <t>0306 - Wildlife and Wildlands Science and Management</t>
  </si>
  <si>
    <t>0402 - Architecture</t>
  </si>
  <si>
    <t>0403 - City/Urban, Community and Regional Planning</t>
  </si>
  <si>
    <t>0406 - Landscape Architecture</t>
  </si>
  <si>
    <t>0501 - Area Studies</t>
  </si>
  <si>
    <t>0904 - Journalism</t>
  </si>
  <si>
    <t>0907 - Radio, Television, and Digital Communication</t>
  </si>
  <si>
    <t>0909 - Public Relations, Advertising, and Applied Communication</t>
  </si>
  <si>
    <t>1003 - Graphic Communications</t>
  </si>
  <si>
    <t>1107 - Computer Science</t>
  </si>
  <si>
    <t>1301 - Education, General</t>
  </si>
  <si>
    <t>1303 - Curriculum and Instruction</t>
  </si>
  <si>
    <t>1304 - Educational Administration and Supervision</t>
  </si>
  <si>
    <t>1310 - Special Education and Teaching</t>
  </si>
  <si>
    <t>1311 - Student Counseling and Personnel Services</t>
  </si>
  <si>
    <t>1312 - Teacher Education and Professional Development, Specific Levels and Methods</t>
  </si>
  <si>
    <t>1313 - Teacher Education and Professional Development, Specific Subject Areas</t>
  </si>
  <si>
    <t>1314 - Teach English, French as Second/Foreign Lang</t>
  </si>
  <si>
    <t>1407 - Chemical Engineering</t>
  </si>
  <si>
    <t>1408 - Civil Engineering</t>
  </si>
  <si>
    <t>1409 - Computer Engineering, General</t>
  </si>
  <si>
    <t>1410 - Electrical, Electronics and Communications Engineering</t>
  </si>
  <si>
    <t>1418 - Materials Engineering</t>
  </si>
  <si>
    <t>1419 - Mechanical Engineering</t>
  </si>
  <si>
    <t>1423 - Nuclear Engineering</t>
  </si>
  <si>
    <t>1439 - Geological/Geophysical Engineering</t>
  </si>
  <si>
    <t>1445 - Biological/Biosystems Engineering</t>
  </si>
  <si>
    <t>1499 - Engineering, Other</t>
  </si>
  <si>
    <t>1506 - Industrial Production Technologies/Technicians</t>
  </si>
  <si>
    <t>1601 - Linguistic, Comparative, and Related Language Studies and Services</t>
  </si>
  <si>
    <t>1609 - Romance Languages, Literatures, and Linguistics</t>
  </si>
  <si>
    <t>1901 - Family and Consumer Sciences/Human Sciences</t>
  </si>
  <si>
    <t>1905 - Foods, Nutrition, and Related Services</t>
  </si>
  <si>
    <t>1907 - Human Development, Family Studies, and Related Studies</t>
  </si>
  <si>
    <t>1909 - Apparel and Textiles</t>
  </si>
  <si>
    <t>2201 - Law (LL.B., J.D.)</t>
  </si>
  <si>
    <t>2301 - English Language and Literature, General</t>
  </si>
  <si>
    <t>2401 - Liberal Arts and Sciences, General Studies and Humanities</t>
  </si>
  <si>
    <t>2601 - Biology, General</t>
  </si>
  <si>
    <t>2602 - Biochemistry, Biophysics, and Molecular Biology</t>
  </si>
  <si>
    <t>2605 - Microbiological Sciences and Immunology</t>
  </si>
  <si>
    <t>2607 - Zoology/Animal Biology</t>
  </si>
  <si>
    <t>2609 - Exercise Physiology</t>
  </si>
  <si>
    <t>2611 - Biomathematics, Bioinformatics, and Computational Biology</t>
  </si>
  <si>
    <t>2612 - Biotechnology</t>
  </si>
  <si>
    <t>2613 - Ecology, Evolution, Systematics, and Population Biology</t>
  </si>
  <si>
    <t>2615 - Neurobiology and Neurosciences</t>
  </si>
  <si>
    <t>2701 - Mathematics</t>
  </si>
  <si>
    <t>2703 - Applied Mathematics</t>
  </si>
  <si>
    <t>2705 - Statistics</t>
  </si>
  <si>
    <t>3099 - Multi/Interdisciplinary Studies, Other</t>
  </si>
  <si>
    <t>3103 - Parks, Recreation and Leisure Facilities Management</t>
  </si>
  <si>
    <t>3105 - Health and Physical Education/Fitness</t>
  </si>
  <si>
    <t>4005 - Chemistry</t>
  </si>
  <si>
    <t>4006 - Geological and Earth Sciences/Geosciences</t>
  </si>
  <si>
    <t>4008 - Physics</t>
  </si>
  <si>
    <t>4201 - Psychology, General</t>
  </si>
  <si>
    <t>4404 - Public Administration</t>
  </si>
  <si>
    <t>4502 - Anthropology</t>
  </si>
  <si>
    <t>4506 - Economics</t>
  </si>
  <si>
    <t>4507 - Geography and Cartography</t>
  </si>
  <si>
    <t>4509 - International Relations and National Security Studies</t>
  </si>
  <si>
    <t>4510 - Political Science and Government</t>
  </si>
  <si>
    <t>4511 - Sociology</t>
  </si>
  <si>
    <t>5003 - Dance</t>
  </si>
  <si>
    <t>5004 - Design and Applied Arts</t>
  </si>
  <si>
    <t>5005 - Drama/Theatre Arts and Stagecraft</t>
  </si>
  <si>
    <t>5006 - Film/Video and Photographic Arts</t>
  </si>
  <si>
    <t>5007 - Fine and Studio Art</t>
  </si>
  <si>
    <t>5009 - Music</t>
  </si>
  <si>
    <t>5100 - Health Services/Allied Health/Health Sciences, General</t>
  </si>
  <si>
    <t>5109 - Allied Health Diagnostic, Intervention, and Treatment Professions</t>
  </si>
  <si>
    <t>5110 - Clinical/Medical Laboratory Science/Research and Allied Professions</t>
  </si>
  <si>
    <t>5112 - Medicine (MD)</t>
  </si>
  <si>
    <t>5123 - Rehabilitation and Therapeutic Professions</t>
  </si>
  <si>
    <t>5202 - Business Administration, Management and Operations</t>
  </si>
  <si>
    <t>5203 - Accounting and Related Services</t>
  </si>
  <si>
    <t>5206 - Business/Managerial Economics</t>
  </si>
  <si>
    <t>5208 - Finance and Financial Management Services</t>
  </si>
  <si>
    <t>5210 - Human Resources Management and Services</t>
  </si>
  <si>
    <t>5212 - Management Information Systems and Services</t>
  </si>
  <si>
    <t>5214 - Marketing</t>
  </si>
  <si>
    <t>5401 - History</t>
  </si>
  <si>
    <t>AEXE - Associate Extension Educator</t>
  </si>
  <si>
    <t>EXTE - County Extension Educator</t>
  </si>
  <si>
    <t>AREE - Area Extension Educator</t>
  </si>
  <si>
    <t>LIBD - Library, Data, Systems and Technology</t>
  </si>
  <si>
    <t>LIBL - Library, Law</t>
  </si>
  <si>
    <t>LIBR - Library, Reference and Teaching</t>
  </si>
  <si>
    <t>BIOL - Biology Department blended rate</t>
  </si>
  <si>
    <t>GEOG - Geography Department blended rate</t>
  </si>
  <si>
    <t>MATH - Math Department blended rate</t>
  </si>
  <si>
    <t>Academic Year Basis</t>
  </si>
  <si>
    <t>CIP &amp; Discipline</t>
  </si>
  <si>
    <t>Target</t>
  </si>
  <si>
    <t>Tenure Track (TT) or Non-tenure Track (NTT)</t>
  </si>
  <si>
    <t>80% of Target</t>
  </si>
  <si>
    <t>Banner Rounding for 80% of Target</t>
  </si>
  <si>
    <t>**There is one calculator for Post Docs, Instructors and Senior Instructors and another calculator for Professor ranks. You must use the correct calculator for the target salary to be accurate.**</t>
  </si>
  <si>
    <t>Banner Rounding of Target</t>
  </si>
  <si>
    <t>Professor</t>
  </si>
  <si>
    <t>0301 - CNR Conservation and Research</t>
  </si>
  <si>
    <t>0302 - CNR Management and Policy</t>
  </si>
  <si>
    <t>0405 - Interior Architecture</t>
  </si>
  <si>
    <t>0901 - Communication And Media Studies</t>
  </si>
  <si>
    <t xml:space="preserve">1420 - Metallurgical Engineering </t>
  </si>
  <si>
    <t xml:space="preserve">2313 - Rhetoric and Composition/Writing Studies. </t>
  </si>
  <si>
    <t>2603 - Botany/Plant Biology</t>
  </si>
  <si>
    <t xml:space="preserve">3801 - Philosophy </t>
  </si>
  <si>
    <t xml:space="preserve">4227 - Research and Experimental Psychology </t>
  </si>
  <si>
    <t>4504 - Criminology</t>
  </si>
  <si>
    <t xml:space="preserve">5010 - Arts, Entertainment,and Media Management </t>
  </si>
  <si>
    <t>FY21 Faculty Salary Table</t>
  </si>
  <si>
    <t>*See FY21 Faculty Salary Tab*</t>
  </si>
  <si>
    <t>FY21 Market &amp; Target Salary Calculator (Instructors &amp; Senior Instructors)</t>
  </si>
  <si>
    <t>*See FY21 Faculty Longevity Tab*</t>
  </si>
  <si>
    <t>FY21 Faculty Longevity Table</t>
  </si>
  <si>
    <r>
      <rPr>
        <b/>
        <sz val="11"/>
        <color theme="1"/>
        <rFont val="Franklin Gothic Book"/>
        <family val="2"/>
      </rPr>
      <t xml:space="preserve">AY </t>
    </r>
    <r>
      <rPr>
        <sz val="11"/>
        <color theme="1"/>
        <rFont val="Franklin Gothic Book"/>
        <family val="2"/>
      </rPr>
      <t>Basis</t>
    </r>
  </si>
  <si>
    <t>FY21 Market &amp; Target Salary Calculator (Post Docs, Instructors &amp; Senior Instructors)</t>
  </si>
  <si>
    <t>FY21 Market &amp; Target Salary Calculator (Assistant, Associate, Full &amp; Distinguished Professors)</t>
  </si>
  <si>
    <t>NOTE: If Banner Rounding fields (rows 15 &amp; 27) are less than Target (rows 13 &amp; 26) check Market amount (rows 11 &amp; 23). Target cannot exceed Market, even when due to Banner rounding.</t>
  </si>
  <si>
    <r>
      <rPr>
        <u/>
        <sz val="11"/>
        <color theme="1"/>
        <rFont val="Franklin Gothic Book"/>
        <family val="2"/>
      </rPr>
      <t>Instructions:</t>
    </r>
    <r>
      <rPr>
        <sz val="11"/>
        <color theme="1"/>
        <rFont val="Franklin Gothic Book"/>
        <family val="2"/>
      </rPr>
      <t xml:space="preserve"> The highlighted fields are drop down menus (except for FTE field which is manual input) that can be selected to adjust and account for particular nuances of positions. Only the approved choices are on each list (i.e. only the approved CIP codes are listed). The formula fields are blocked from being selected (if you have a rare situation where these need to be adjusted please contact Erika Crossland crosslande@uidaho.edu or 885-1061). Make sure to choose the correct factor for the faculty member's full situation to get an accurate calculation of their target salary. For existing faculty, the NWRSRDT (the seniority date report) can help figure out longevity, how long the faculty member has been at a specific rank.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</si>
</sst>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00"/>
    <numFmt numFmtId="165" formatCode="&quot;$&quot;#,##0.00"/>
    <numFmt numFmtId="166" formatCode="&quot;$&quot;#,##0.00000"/>
  </numFmts>
  <fonts count="19" x14ac:knownFonts="1">
    <font>
      <sz val="11"/>
      <color theme="1"/>
      <name val="Calibri"/>
      <family val="2"/>
      <scheme val="minor"/>
    </font>
    <font>
      <sz val="11"/>
      <color theme="1"/>
      <name val="Franklin Gothic Book"/>
      <family val="2"/>
    </font>
    <font>
      <sz val="11"/>
      <color theme="1"/>
      <name val="Franklin Gothic Book"/>
      <family val="2"/>
    </font>
    <font>
      <sz val="11"/>
      <color theme="1"/>
      <name val="Franklin Gothic Book"/>
      <family val="2"/>
    </font>
    <font>
      <sz val="11"/>
      <color theme="1"/>
      <name val="Franklin Gothic Book"/>
      <family val="2"/>
    </font>
    <font>
      <sz val="11"/>
      <color theme="1"/>
      <name val="Franklin Gothic Book"/>
      <family val="2"/>
    </font>
    <font>
      <sz val="11"/>
      <color theme="1"/>
      <name val="Franklin Gothic Book"/>
      <family val="2"/>
    </font>
    <font>
      <sz val="11"/>
      <color theme="1"/>
      <name val="Franklin Gothic Book"/>
      <family val="2"/>
    </font>
    <font>
      <sz val="11"/>
      <color theme="1"/>
      <name val="Franklin Gothic Book"/>
      <family val="2"/>
    </font>
    <font>
      <sz val="11"/>
      <color theme="1"/>
      <name val="Franklin Gothic Book"/>
      <family val="2"/>
    </font>
    <font>
      <b/>
      <sz val="11"/>
      <color theme="1"/>
      <name val="Franklin Gothic Book"/>
      <family val="2"/>
    </font>
    <font>
      <sz val="10"/>
      <color rgb="FF000000"/>
      <name val="Times New Roman"/>
      <family val="1"/>
    </font>
    <font>
      <b/>
      <sz val="9"/>
      <color theme="1"/>
      <name val="Franklin Gothic Book"/>
      <family val="2"/>
    </font>
    <font>
      <b/>
      <sz val="9"/>
      <name val="Franklin Gothic Book"/>
      <family val="2"/>
    </font>
    <font>
      <sz val="10"/>
      <color rgb="FF000000"/>
      <name val="Franklin Gothic Book"/>
      <family val="2"/>
    </font>
    <font>
      <b/>
      <sz val="10"/>
      <color rgb="FF000000"/>
      <name val="Franklin Gothic Book"/>
      <family val="2"/>
    </font>
    <font>
      <u/>
      <sz val="11"/>
      <color theme="1"/>
      <name val="Franklin Gothic Book"/>
      <family val="2"/>
    </font>
    <font>
      <sz val="11"/>
      <color theme="1"/>
      <name val="Calibri"/>
      <family val="2"/>
      <scheme val="minor"/>
    </font>
    <font>
      <sz val="11"/>
      <name val="Calibri"/>
      <family val="2"/>
    </font>
  </fonts>
  <fills count="4">
    <fill>
      <patternFill patternType="none"/>
    </fill>
    <fill>
      <patternFill patternType="gray125"/>
    </fill>
    <fill>
      <patternFill patternType="solid">
        <fgColor theme="4"/>
        <bgColor theme="4"/>
      </patternFill>
    </fill>
    <fill>
      <patternFill patternType="solid">
        <fgColor theme="7"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8">
    <xf numFmtId="0" fontId="0" fillId="0" borderId="0"/>
    <xf numFmtId="44" fontId="9" fillId="0" borderId="0" applyFont="0" applyFill="0" applyBorder="0" applyAlignment="0" applyProtection="0"/>
    <xf numFmtId="9" fontId="9" fillId="0" borderId="0" applyFont="0" applyFill="0" applyBorder="0" applyAlignment="0" applyProtection="0"/>
    <xf numFmtId="0" fontId="11" fillId="0" borderId="0"/>
    <xf numFmtId="0" fontId="17" fillId="0" borderId="0"/>
    <xf numFmtId="0" fontId="5" fillId="0" borderId="0"/>
    <xf numFmtId="0" fontId="18" fillId="0" borderId="0"/>
    <xf numFmtId="43" fontId="17" fillId="0" borderId="0" applyFont="0" applyFill="0" applyBorder="0" applyAlignment="0" applyProtection="0"/>
  </cellStyleXfs>
  <cellXfs count="62">
    <xf numFmtId="0" fontId="0" fillId="0" borderId="0" xfId="0"/>
    <xf numFmtId="0" fontId="8" fillId="0" borderId="1" xfId="0" applyFont="1" applyBorder="1"/>
    <xf numFmtId="0" fontId="12" fillId="0" borderId="0" xfId="0" applyFont="1"/>
    <xf numFmtId="0" fontId="8" fillId="0" borderId="0" xfId="0" applyFont="1"/>
    <xf numFmtId="0" fontId="13" fillId="2" borderId="1" xfId="3" applyFont="1" applyFill="1" applyBorder="1" applyAlignment="1">
      <alignment horizontal="center" vertical="center" wrapText="1"/>
    </xf>
    <xf numFmtId="1" fontId="14" fillId="0" borderId="1" xfId="3" applyNumberFormat="1" applyFont="1" applyBorder="1" applyAlignment="1">
      <alignment horizontal="right" vertical="top" wrapText="1"/>
    </xf>
    <xf numFmtId="10" fontId="14" fillId="0" borderId="1" xfId="3" applyNumberFormat="1" applyFont="1" applyBorder="1" applyAlignment="1">
      <alignment horizontal="right" vertical="top" wrapText="1"/>
    </xf>
    <xf numFmtId="10" fontId="15" fillId="0" borderId="1" xfId="3" applyNumberFormat="1" applyFont="1" applyBorder="1" applyAlignment="1">
      <alignment horizontal="right" vertical="top" wrapText="1"/>
    </xf>
    <xf numFmtId="165" fontId="8" fillId="0" borderId="0" xfId="0" applyNumberFormat="1" applyFont="1"/>
    <xf numFmtId="166" fontId="8" fillId="0" borderId="0" xfId="0" applyNumberFormat="1" applyFont="1"/>
    <xf numFmtId="10" fontId="8" fillId="0" borderId="0" xfId="2" applyNumberFormat="1" applyFont="1"/>
    <xf numFmtId="0" fontId="8" fillId="0" borderId="2" xfId="0" applyFont="1" applyBorder="1"/>
    <xf numFmtId="0" fontId="8" fillId="0" borderId="4" xfId="0" applyFont="1" applyBorder="1"/>
    <xf numFmtId="165" fontId="8" fillId="0" borderId="5" xfId="1" applyNumberFormat="1" applyFont="1" applyBorder="1" applyAlignment="1">
      <alignment horizontal="left"/>
    </xf>
    <xf numFmtId="0" fontId="8" fillId="0" borderId="6" xfId="0" applyFont="1" applyBorder="1"/>
    <xf numFmtId="165" fontId="8" fillId="0" borderId="7" xfId="0" applyNumberFormat="1" applyFont="1" applyBorder="1" applyAlignment="1">
      <alignment horizontal="left"/>
    </xf>
    <xf numFmtId="0" fontId="10" fillId="0" borderId="4" xfId="0" applyFont="1" applyBorder="1"/>
    <xf numFmtId="165" fontId="10" fillId="0" borderId="5" xfId="1" applyNumberFormat="1" applyFont="1" applyBorder="1" applyAlignment="1">
      <alignment horizontal="left"/>
    </xf>
    <xf numFmtId="0" fontId="10" fillId="0" borderId="2" xfId="0" applyFont="1" applyBorder="1"/>
    <xf numFmtId="165" fontId="10" fillId="0" borderId="3" xfId="0" applyNumberFormat="1" applyFont="1" applyBorder="1" applyAlignment="1">
      <alignment horizontal="left"/>
    </xf>
    <xf numFmtId="0" fontId="10" fillId="0" borderId="9" xfId="0" applyFont="1" applyBorder="1"/>
    <xf numFmtId="165" fontId="10" fillId="0" borderId="10" xfId="0" applyNumberFormat="1" applyFont="1" applyBorder="1" applyAlignment="1">
      <alignment horizontal="left"/>
    </xf>
    <xf numFmtId="0" fontId="10" fillId="0" borderId="6" xfId="0" applyFont="1" applyBorder="1"/>
    <xf numFmtId="165" fontId="10" fillId="0" borderId="7" xfId="0" applyNumberFormat="1" applyFont="1" applyBorder="1" applyAlignment="1">
      <alignment horizontal="left"/>
    </xf>
    <xf numFmtId="0" fontId="8" fillId="0" borderId="0" xfId="0" applyFont="1" applyAlignment="1">
      <alignment wrapText="1"/>
    </xf>
    <xf numFmtId="0" fontId="8" fillId="0" borderId="0" xfId="0" applyFont="1" applyAlignment="1">
      <alignment horizontal="center" wrapText="1"/>
    </xf>
    <xf numFmtId="0" fontId="8" fillId="0" borderId="0" xfId="0" applyFont="1" applyAlignment="1">
      <alignment horizontal="center" wrapText="1"/>
    </xf>
    <xf numFmtId="0" fontId="7" fillId="0" borderId="0" xfId="0" applyFont="1" applyAlignment="1">
      <alignment horizontal="center" wrapText="1"/>
    </xf>
    <xf numFmtId="0" fontId="10" fillId="0" borderId="0" xfId="0" applyFont="1" applyBorder="1"/>
    <xf numFmtId="165" fontId="10" fillId="0" borderId="0" xfId="0" applyNumberFormat="1" applyFont="1" applyBorder="1" applyAlignment="1">
      <alignment horizontal="left"/>
    </xf>
    <xf numFmtId="0" fontId="6" fillId="0" borderId="4" xfId="0" applyFont="1" applyBorder="1"/>
    <xf numFmtId="49" fontId="10" fillId="0" borderId="0" xfId="0" applyNumberFormat="1" applyFont="1" applyAlignment="1">
      <alignment horizontal="left"/>
    </xf>
    <xf numFmtId="0" fontId="5" fillId="0" borderId="0" xfId="0" applyFont="1"/>
    <xf numFmtId="0" fontId="5" fillId="0" borderId="1" xfId="0" applyFont="1" applyBorder="1" applyAlignment="1">
      <alignment horizontal="center"/>
    </xf>
    <xf numFmtId="43" fontId="5" fillId="0" borderId="1" xfId="4" applyNumberFormat="1" applyFont="1" applyBorder="1"/>
    <xf numFmtId="0" fontId="5" fillId="0" borderId="10" xfId="4" applyFont="1" applyBorder="1"/>
    <xf numFmtId="43" fontId="5" fillId="0" borderId="9" xfId="4" applyNumberFormat="1" applyFont="1" applyBorder="1"/>
    <xf numFmtId="0" fontId="10" fillId="0" borderId="7" xfId="0" applyFont="1" applyBorder="1" applyAlignment="1">
      <alignment horizontal="center"/>
    </xf>
    <xf numFmtId="0" fontId="10" fillId="0" borderId="12" xfId="0" applyFont="1" applyBorder="1" applyAlignment="1">
      <alignment horizontal="center"/>
    </xf>
    <xf numFmtId="0" fontId="10" fillId="0" borderId="12" xfId="0" applyFont="1" applyBorder="1" applyAlignment="1">
      <alignment horizontal="center" wrapText="1"/>
    </xf>
    <xf numFmtId="43" fontId="10" fillId="0" borderId="12" xfId="7" applyFont="1" applyBorder="1" applyAlignment="1">
      <alignment horizontal="center" wrapText="1"/>
    </xf>
    <xf numFmtId="0" fontId="10" fillId="0" borderId="6" xfId="0" applyFont="1" applyBorder="1" applyAlignment="1">
      <alignment horizontal="center" wrapText="1"/>
    </xf>
    <xf numFmtId="0" fontId="5" fillId="0" borderId="3" xfId="4" applyFont="1" applyBorder="1"/>
    <xf numFmtId="43" fontId="5" fillId="0" borderId="11" xfId="4" applyNumberFormat="1" applyFont="1" applyBorder="1"/>
    <xf numFmtId="43" fontId="5" fillId="0" borderId="2" xfId="4" applyNumberFormat="1" applyFont="1" applyBorder="1"/>
    <xf numFmtId="0" fontId="5" fillId="0" borderId="1" xfId="0" applyFont="1" applyBorder="1"/>
    <xf numFmtId="0" fontId="4" fillId="0" borderId="0" xfId="0" applyFont="1"/>
    <xf numFmtId="166" fontId="8" fillId="0" borderId="0" xfId="0" applyNumberFormat="1" applyFont="1" applyFill="1"/>
    <xf numFmtId="0" fontId="8" fillId="3" borderId="3" xfId="0" applyFont="1" applyFill="1" applyBorder="1" applyAlignment="1" applyProtection="1">
      <alignment horizontal="left"/>
      <protection locked="0"/>
    </xf>
    <xf numFmtId="0" fontId="8" fillId="3" borderId="5" xfId="0" applyFont="1" applyFill="1" applyBorder="1" applyAlignment="1" applyProtection="1">
      <alignment horizontal="left"/>
      <protection locked="0"/>
    </xf>
    <xf numFmtId="164" fontId="8" fillId="3" borderId="5" xfId="0" applyNumberFormat="1" applyFont="1" applyFill="1" applyBorder="1" applyAlignment="1" applyProtection="1">
      <alignment horizontal="left"/>
      <protection locked="0"/>
    </xf>
    <xf numFmtId="0" fontId="8" fillId="3" borderId="3" xfId="0" applyFont="1" applyFill="1" applyBorder="1" applyProtection="1">
      <protection locked="0"/>
    </xf>
    <xf numFmtId="0" fontId="8" fillId="3" borderId="5" xfId="0" applyFont="1" applyFill="1" applyBorder="1" applyProtection="1">
      <protection locked="0"/>
    </xf>
    <xf numFmtId="0" fontId="3" fillId="0" borderId="1" xfId="0" applyFont="1" applyBorder="1"/>
    <xf numFmtId="0" fontId="8" fillId="0" borderId="0" xfId="0" applyFont="1" applyAlignment="1">
      <alignment horizontal="center"/>
    </xf>
    <xf numFmtId="0" fontId="10" fillId="0" borderId="8" xfId="0" applyFont="1" applyBorder="1" applyAlignment="1">
      <alignment horizontal="left"/>
    </xf>
    <xf numFmtId="0" fontId="2" fillId="0" borderId="0" xfId="0" applyFont="1" applyAlignment="1">
      <alignment horizontal="center" wrapText="1"/>
    </xf>
    <xf numFmtId="0" fontId="8" fillId="0" borderId="0" xfId="0" applyFont="1" applyAlignment="1">
      <alignment horizontal="center" wrapText="1"/>
    </xf>
    <xf numFmtId="0" fontId="4" fillId="0" borderId="0" xfId="0" applyFont="1" applyAlignment="1">
      <alignment horizontal="center" wrapText="1"/>
    </xf>
    <xf numFmtId="0" fontId="5" fillId="0" borderId="9" xfId="0" applyFont="1" applyBorder="1" applyAlignment="1">
      <alignment horizontal="center"/>
    </xf>
    <xf numFmtId="0" fontId="5" fillId="0" borderId="13" xfId="0" applyFont="1" applyBorder="1" applyAlignment="1">
      <alignment horizontal="center"/>
    </xf>
    <xf numFmtId="0" fontId="5" fillId="0" borderId="10" xfId="0" applyFont="1" applyBorder="1" applyAlignment="1">
      <alignment horizontal="center"/>
    </xf>
  </cellXfs>
  <cellStyles count="8">
    <cellStyle name="Comma 2" xfId="7" xr:uid="{FACC2F5B-F69A-4114-B234-C76B50285001}"/>
    <cellStyle name="Currency" xfId="1" builtinId="4"/>
    <cellStyle name="Normal" xfId="0" builtinId="0"/>
    <cellStyle name="Normal 2" xfId="3" xr:uid="{D5B95725-8BA1-4B67-9327-34135064FBBB}"/>
    <cellStyle name="Normal 2 2" xfId="4" xr:uid="{4B9EBC81-EFC4-428D-BB25-532860AB704B}"/>
    <cellStyle name="Normal 2 2 2" xfId="6" xr:uid="{4BF97F35-47F5-4D06-A16C-6B9823EB74F0}"/>
    <cellStyle name="Normal 3" xfId="5" xr:uid="{23B7615A-0A3C-409A-A3CA-CA9AD4E14AD6}"/>
    <cellStyle name="Percent" xfId="2" builtinId="5"/>
  </cellStyles>
  <dxfs count="13">
    <dxf>
      <font>
        <b val="0"/>
        <i val="0"/>
        <strike val="0"/>
        <condense val="0"/>
        <extend val="0"/>
        <outline val="0"/>
        <shadow val="0"/>
        <u val="none"/>
        <vertAlign val="baseline"/>
        <sz val="11"/>
        <color theme="1"/>
        <name val="Franklin Gothic Book"/>
        <family val="2"/>
        <scheme val="none"/>
      </font>
      <numFmt numFmtId="35" formatCode="_(* #,##0.00_);_(* \(#,##0.00\);_(* &quot;-&quot;??_);_(@_)"/>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Franklin Gothic Book"/>
        <family val="2"/>
        <scheme val="none"/>
      </font>
      <numFmt numFmtId="35" formatCode="_(* #,##0.00_);_(* \(#,##0.00\);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Franklin Gothic Book"/>
        <family val="2"/>
        <scheme val="none"/>
      </font>
      <numFmt numFmtId="35" formatCode="_(* #,##0.00_);_(* \(#,##0.00\);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Franklin Gothic Book"/>
        <family val="2"/>
        <scheme val="none"/>
      </font>
      <numFmt numFmtId="35" formatCode="_(* #,##0.00_);_(* \(#,##0.00\);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Franklin Gothic Book"/>
        <family val="2"/>
        <scheme val="none"/>
      </font>
      <numFmt numFmtId="35" formatCode="_(* #,##0.00_);_(* \(#,##0.00\);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Franklin Gothic Book"/>
        <family val="2"/>
        <scheme val="none"/>
      </font>
      <numFmt numFmtId="35" formatCode="_(* #,##0.00_);_(* \(#,##0.00\);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Franklin Gothic Book"/>
        <family val="2"/>
        <scheme val="none"/>
      </font>
      <numFmt numFmtId="35" formatCode="_(* #,##0.00_);_(* \(#,##0.00\);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Franklin Gothic Book"/>
        <family val="2"/>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Franklin Gothic Book"/>
        <family val="2"/>
        <scheme val="none"/>
      </font>
    </dxf>
    <dxf>
      <border outline="0">
        <bottom style="thin">
          <color indexed="64"/>
        </bottom>
      </border>
    </dxf>
    <dxf>
      <font>
        <b/>
        <i val="0"/>
        <strike val="0"/>
        <condense val="0"/>
        <extend val="0"/>
        <outline val="0"/>
        <shadow val="0"/>
        <u val="none"/>
        <vertAlign val="baseline"/>
        <sz val="11"/>
        <color theme="1"/>
        <name val="Franklin Gothic Book"/>
        <family val="2"/>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1765300</xdr:colOff>
      <xdr:row>0</xdr:row>
      <xdr:rowOff>0</xdr:rowOff>
    </xdr:from>
    <xdr:to>
      <xdr:col>2</xdr:col>
      <xdr:colOff>3282950</xdr:colOff>
      <xdr:row>1</xdr:row>
      <xdr:rowOff>9097</xdr:rowOff>
    </xdr:to>
    <xdr:pic>
      <xdr:nvPicPr>
        <xdr:cNvPr id="3" name="Picture 2">
          <a:extLst>
            <a:ext uri="{FF2B5EF4-FFF2-40B4-BE49-F238E27FC236}">
              <a16:creationId xmlns:a16="http://schemas.microsoft.com/office/drawing/2014/main" id="{77D1D7C5-42A8-914E-B89C-938919C91C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32000" y="0"/>
          <a:ext cx="4635500" cy="126004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odi\AppData\Local\Microsoft\Windows\INetCache\Content.Outlook\GFB895D6\JW%20Work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PO/Provost/PRICE%20Documents/CIP%20codes/CIP%20codes%20July%2011/Step%203%20Calculation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PO/Provost/PRICE%20Documents/CIP%20codes/MASTER_UI_CIP_LIS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cupahr.org/wp-content/uploads/2017/07/4-Year_Faculty_Survey_Participation_Integrated_Template_201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cupahr769-my.sharepoint.com/personal/jbichsel_cupahr_org/Documents/Research/Salary%20Surveys/2017%20SPITs/Administrators%20Survey%20Participation%20Integrated%20Templat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PO/AcademicFinance/CIP%20codes/drafts%20and%20previous%20versions/step%203%20CIP%20Working%20Copy%20with%20gender%20graph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By College"/>
      <sheetName val="Avg Time in Rank Associate"/>
      <sheetName val="Faculty Mkt and Target"/>
      <sheetName val="SalaryByCIP"/>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ep 3"/>
      <sheetName val="SalaryByCIP"/>
      <sheetName val="LongevityTargets"/>
    </sheetNames>
    <sheetDataSet>
      <sheetData sheetId="0"/>
      <sheetData sheetId="1"/>
      <sheetData sheetId="2">
        <row r="2">
          <cell r="A2" t="str">
            <v>Assistant Professor</v>
          </cell>
        </row>
        <row r="3">
          <cell r="A3" t="str">
            <v>Assistant Professor</v>
          </cell>
        </row>
        <row r="4">
          <cell r="A4" t="str">
            <v>Assistant Professor</v>
          </cell>
        </row>
        <row r="5">
          <cell r="A5" t="str">
            <v>Assistant Professor</v>
          </cell>
        </row>
        <row r="6">
          <cell r="A6" t="str">
            <v>Assistant Professor</v>
          </cell>
        </row>
        <row r="7">
          <cell r="A7" t="str">
            <v>Assistant Professor</v>
          </cell>
        </row>
        <row r="8">
          <cell r="A8" t="str">
            <v>Assistant Professor</v>
          </cell>
        </row>
        <row r="9">
          <cell r="A9" t="str">
            <v>Assistant Professor</v>
          </cell>
        </row>
        <row r="10">
          <cell r="A10" t="str">
            <v>Assistant Professor</v>
          </cell>
        </row>
        <row r="11">
          <cell r="A11" t="str">
            <v>Associate Professor</v>
          </cell>
        </row>
        <row r="12">
          <cell r="A12" t="str">
            <v>Associate Professor</v>
          </cell>
        </row>
        <row r="13">
          <cell r="A13" t="str">
            <v>Associate Professor</v>
          </cell>
        </row>
        <row r="14">
          <cell r="A14" t="str">
            <v>Associate Professor</v>
          </cell>
        </row>
        <row r="15">
          <cell r="A15" t="str">
            <v>Associate Professor</v>
          </cell>
        </row>
        <row r="16">
          <cell r="A16" t="str">
            <v>Associate Professor</v>
          </cell>
        </row>
        <row r="17">
          <cell r="A17" t="str">
            <v>Associate Professor</v>
          </cell>
        </row>
        <row r="18">
          <cell r="A18" t="str">
            <v>Associate Professor</v>
          </cell>
        </row>
        <row r="19">
          <cell r="A19" t="str">
            <v>Associate Professor</v>
          </cell>
        </row>
        <row r="20">
          <cell r="A20" t="str">
            <v>Associate Professor</v>
          </cell>
        </row>
        <row r="21">
          <cell r="A21" t="str">
            <v>Associate Professor</v>
          </cell>
        </row>
        <row r="22">
          <cell r="A22" t="str">
            <v>Associate Professor</v>
          </cell>
        </row>
        <row r="23">
          <cell r="A23" t="str">
            <v>Associate Professor</v>
          </cell>
        </row>
        <row r="24">
          <cell r="A24" t="str">
            <v>Associate Professor</v>
          </cell>
        </row>
        <row r="25">
          <cell r="A25" t="str">
            <v>Associate Professor</v>
          </cell>
        </row>
        <row r="26">
          <cell r="A26" t="str">
            <v>Associate Professor</v>
          </cell>
        </row>
        <row r="27">
          <cell r="A27" t="str">
            <v>Associate Professor</v>
          </cell>
        </row>
        <row r="28">
          <cell r="A28" t="str">
            <v>Associate Professor</v>
          </cell>
        </row>
        <row r="29">
          <cell r="A29" t="str">
            <v>Associate Professor</v>
          </cell>
        </row>
        <row r="30">
          <cell r="A30" t="str">
            <v>Associate Professor</v>
          </cell>
        </row>
        <row r="31">
          <cell r="A31" t="str">
            <v>Associate Professor</v>
          </cell>
        </row>
        <row r="32">
          <cell r="A32" t="str">
            <v>Associate Professor</v>
          </cell>
        </row>
        <row r="33">
          <cell r="A33" t="str">
            <v>Associate Professor</v>
          </cell>
        </row>
        <row r="34">
          <cell r="A34" t="str">
            <v>Associate Professor</v>
          </cell>
        </row>
        <row r="35">
          <cell r="A35" t="str">
            <v>Associate Professor</v>
          </cell>
        </row>
        <row r="36">
          <cell r="A36" t="str">
            <v>Associate Professor</v>
          </cell>
        </row>
        <row r="37">
          <cell r="A37" t="str">
            <v>Associate Professor</v>
          </cell>
        </row>
        <row r="38">
          <cell r="A38" t="str">
            <v>Associate Professor</v>
          </cell>
        </row>
        <row r="39">
          <cell r="A39" t="str">
            <v>Associate Professor</v>
          </cell>
        </row>
        <row r="40">
          <cell r="A40" t="str">
            <v>Associate Professor</v>
          </cell>
        </row>
        <row r="41">
          <cell r="A41" t="str">
            <v>Associate Professor</v>
          </cell>
        </row>
        <row r="42">
          <cell r="A42" t="str">
            <v>Associate Professor</v>
          </cell>
        </row>
        <row r="43">
          <cell r="A43" t="str">
            <v>Associate Professor</v>
          </cell>
        </row>
        <row r="44">
          <cell r="A44" t="str">
            <v>Associate Professor</v>
          </cell>
        </row>
        <row r="45">
          <cell r="A45" t="str">
            <v>Associate Professor</v>
          </cell>
        </row>
        <row r="46">
          <cell r="A46" t="str">
            <v>Associate Professor</v>
          </cell>
        </row>
        <row r="47">
          <cell r="A47" t="str">
            <v>Associate Professor</v>
          </cell>
        </row>
        <row r="48">
          <cell r="A48" t="str">
            <v>Associate Professor</v>
          </cell>
        </row>
        <row r="49">
          <cell r="A49" t="str">
            <v>Associate Professor</v>
          </cell>
        </row>
        <row r="50">
          <cell r="A50" t="str">
            <v>Associate Professor</v>
          </cell>
        </row>
        <row r="51">
          <cell r="A51" t="str">
            <v>Associate Professor</v>
          </cell>
        </row>
        <row r="52">
          <cell r="A52" t="str">
            <v>Associate Professor</v>
          </cell>
        </row>
        <row r="53">
          <cell r="A53" t="str">
            <v>Associate Professor</v>
          </cell>
        </row>
        <row r="54">
          <cell r="A54" t="str">
            <v>Associate Professor</v>
          </cell>
        </row>
        <row r="55">
          <cell r="A55" t="str">
            <v>Associate Professor</v>
          </cell>
        </row>
        <row r="56">
          <cell r="A56" t="str">
            <v>Associate Professor</v>
          </cell>
        </row>
        <row r="57">
          <cell r="A57" t="str">
            <v>Professor</v>
          </cell>
        </row>
        <row r="58">
          <cell r="A58" t="str">
            <v>Professor</v>
          </cell>
        </row>
        <row r="59">
          <cell r="A59" t="str">
            <v>Professor</v>
          </cell>
        </row>
        <row r="60">
          <cell r="A60" t="str">
            <v>Professor</v>
          </cell>
        </row>
        <row r="61">
          <cell r="A61" t="str">
            <v>Professor</v>
          </cell>
        </row>
        <row r="62">
          <cell r="A62" t="str">
            <v>Professor</v>
          </cell>
        </row>
        <row r="63">
          <cell r="A63" t="str">
            <v>Professor</v>
          </cell>
        </row>
        <row r="64">
          <cell r="A64" t="str">
            <v>Professor</v>
          </cell>
        </row>
        <row r="65">
          <cell r="A65" t="str">
            <v>Professor</v>
          </cell>
        </row>
        <row r="66">
          <cell r="A66" t="str">
            <v>Professor</v>
          </cell>
        </row>
        <row r="67">
          <cell r="A67" t="str">
            <v>Professor</v>
          </cell>
        </row>
        <row r="68">
          <cell r="A68" t="str">
            <v>Professor</v>
          </cell>
        </row>
        <row r="69">
          <cell r="A69" t="str">
            <v>Professor</v>
          </cell>
        </row>
        <row r="70">
          <cell r="A70" t="str">
            <v>Professor</v>
          </cell>
        </row>
        <row r="71">
          <cell r="A71" t="str">
            <v>Professor</v>
          </cell>
        </row>
        <row r="72">
          <cell r="A72" t="str">
            <v>Professor</v>
          </cell>
        </row>
        <row r="73">
          <cell r="A73" t="str">
            <v>Professor</v>
          </cell>
        </row>
        <row r="74">
          <cell r="A74" t="str">
            <v>Professor</v>
          </cell>
        </row>
        <row r="75">
          <cell r="A75" t="str">
            <v>Professor</v>
          </cell>
        </row>
        <row r="76">
          <cell r="A76" t="str">
            <v>Professor</v>
          </cell>
        </row>
        <row r="77">
          <cell r="A77" t="str">
            <v>Professor</v>
          </cell>
        </row>
        <row r="78">
          <cell r="A78" t="str">
            <v>Professor</v>
          </cell>
        </row>
        <row r="79">
          <cell r="A79" t="str">
            <v>Professor</v>
          </cell>
        </row>
        <row r="80">
          <cell r="A80" t="str">
            <v>Professor</v>
          </cell>
        </row>
        <row r="81">
          <cell r="A81" t="str">
            <v>Professor</v>
          </cell>
        </row>
        <row r="82">
          <cell r="A82" t="str">
            <v>Professor</v>
          </cell>
        </row>
        <row r="83">
          <cell r="A83" t="str">
            <v>Professor</v>
          </cell>
        </row>
        <row r="84">
          <cell r="A84" t="str">
            <v>Professor</v>
          </cell>
        </row>
        <row r="85">
          <cell r="A85" t="str">
            <v>Professor</v>
          </cell>
        </row>
        <row r="86">
          <cell r="A86" t="str">
            <v>Professor</v>
          </cell>
        </row>
        <row r="87">
          <cell r="A87" t="str">
            <v>Professor</v>
          </cell>
        </row>
        <row r="88">
          <cell r="A88" t="str">
            <v>Professor</v>
          </cell>
        </row>
        <row r="89">
          <cell r="A89" t="str">
            <v>Professor</v>
          </cell>
        </row>
        <row r="90">
          <cell r="A90" t="str">
            <v>Professor</v>
          </cell>
        </row>
        <row r="91">
          <cell r="A91" t="str">
            <v>Professor</v>
          </cell>
        </row>
        <row r="92">
          <cell r="A92" t="str">
            <v>Professor</v>
          </cell>
        </row>
        <row r="93">
          <cell r="A93" t="str">
            <v>Professor</v>
          </cell>
        </row>
        <row r="94">
          <cell r="A94" t="str">
            <v>Professor</v>
          </cell>
        </row>
        <row r="95">
          <cell r="A95" t="str">
            <v>Professor</v>
          </cell>
        </row>
        <row r="96">
          <cell r="A96" t="str">
            <v>Professor</v>
          </cell>
        </row>
        <row r="97">
          <cell r="A97" t="str">
            <v>Professor</v>
          </cell>
        </row>
        <row r="98">
          <cell r="A98" t="str">
            <v>Professor</v>
          </cell>
        </row>
        <row r="99">
          <cell r="A99" t="str">
            <v>Professor</v>
          </cell>
        </row>
        <row r="100">
          <cell r="A100" t="str">
            <v>Professor</v>
          </cell>
        </row>
        <row r="101">
          <cell r="A101" t="str">
            <v>Professor</v>
          </cell>
        </row>
        <row r="102">
          <cell r="A102" t="str">
            <v>Professor</v>
          </cell>
        </row>
        <row r="103">
          <cell r="A103" t="str">
            <v>Distinguished Professor</v>
          </cell>
        </row>
        <row r="104">
          <cell r="A104" t="str">
            <v>Distinguished Professor</v>
          </cell>
        </row>
        <row r="105">
          <cell r="A105" t="str">
            <v>Distinguished Professor</v>
          </cell>
        </row>
        <row r="106">
          <cell r="A106" t="str">
            <v>Distinguished Professor</v>
          </cell>
        </row>
        <row r="107">
          <cell r="A107" t="str">
            <v>Distinguished Professor</v>
          </cell>
        </row>
        <row r="108">
          <cell r="A108" t="str">
            <v>Distinguished Professor</v>
          </cell>
        </row>
        <row r="109">
          <cell r="A109" t="str">
            <v>Distinguished Professor</v>
          </cell>
        </row>
        <row r="110">
          <cell r="A110" t="str">
            <v>Distinguished Professor</v>
          </cell>
        </row>
        <row r="111">
          <cell r="A111" t="str">
            <v>Distinguished Professor</v>
          </cell>
        </row>
        <row r="112">
          <cell r="A112" t="str">
            <v>Distinguished Professor</v>
          </cell>
        </row>
        <row r="113">
          <cell r="A113" t="str">
            <v>Distinguished Professor</v>
          </cell>
        </row>
        <row r="114">
          <cell r="A114" t="str">
            <v>Distinguished Professor</v>
          </cell>
        </row>
        <row r="115">
          <cell r="A115" t="str">
            <v>Distinguished Professor</v>
          </cell>
        </row>
        <row r="116">
          <cell r="A116" t="str">
            <v>Distinguished Professor</v>
          </cell>
        </row>
        <row r="117">
          <cell r="A117" t="str">
            <v>Distinguished Professor</v>
          </cell>
        </row>
        <row r="118">
          <cell r="A118" t="str">
            <v>Distinguished Professor</v>
          </cell>
        </row>
        <row r="119">
          <cell r="A119" t="str">
            <v>Distinguished Professor</v>
          </cell>
        </row>
        <row r="120">
          <cell r="A120" t="str">
            <v>Distinguished Professor</v>
          </cell>
        </row>
        <row r="121">
          <cell r="A121" t="str">
            <v>Distinguished Professor</v>
          </cell>
        </row>
        <row r="122">
          <cell r="A122" t="str">
            <v>Distinguished Professor</v>
          </cell>
        </row>
        <row r="123">
          <cell r="A123" t="str">
            <v>Distinguished Professor</v>
          </cell>
        </row>
        <row r="124">
          <cell r="A124" t="str">
            <v>Distinguished Professor</v>
          </cell>
        </row>
        <row r="125">
          <cell r="A125" t="str">
            <v>Distinguished Professor</v>
          </cell>
        </row>
        <row r="126">
          <cell r="A126" t="str">
            <v>Distinguished Professor</v>
          </cell>
        </row>
        <row r="127">
          <cell r="A127" t="str">
            <v>Distinguished Professor</v>
          </cell>
        </row>
        <row r="128">
          <cell r="A128" t="str">
            <v>Distinguished Professor</v>
          </cell>
        </row>
        <row r="129">
          <cell r="A129" t="str">
            <v>Distinguished Professor</v>
          </cell>
        </row>
        <row r="130">
          <cell r="A130" t="str">
            <v>Distinguished Professor</v>
          </cell>
        </row>
        <row r="131">
          <cell r="A131" t="str">
            <v>Distinguished Professor</v>
          </cell>
        </row>
        <row r="132">
          <cell r="A132" t="str">
            <v>Distinguished Professor</v>
          </cell>
        </row>
        <row r="133">
          <cell r="A133" t="str">
            <v>Distinguished Professor</v>
          </cell>
        </row>
        <row r="134">
          <cell r="A134" t="str">
            <v>Distinguished Professor</v>
          </cell>
        </row>
        <row r="135">
          <cell r="A135" t="str">
            <v>Distinguished Professor</v>
          </cell>
        </row>
        <row r="136">
          <cell r="A136" t="str">
            <v>Distinguished Professor</v>
          </cell>
        </row>
        <row r="137">
          <cell r="A137" t="str">
            <v>Distinguished Professor</v>
          </cell>
        </row>
        <row r="138">
          <cell r="A138" t="str">
            <v>Distinguished Professor</v>
          </cell>
        </row>
        <row r="139">
          <cell r="A139" t="str">
            <v>Distinguished Professor</v>
          </cell>
        </row>
        <row r="140">
          <cell r="A140" t="str">
            <v>Distinguished Professor</v>
          </cell>
        </row>
        <row r="141">
          <cell r="A141" t="str">
            <v>Distinguished Professor</v>
          </cell>
        </row>
        <row r="142">
          <cell r="A142" t="str">
            <v>Distinguished Professor</v>
          </cell>
        </row>
        <row r="143">
          <cell r="A143" t="str">
            <v>Distinguished Professor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 digit cip titles"/>
      <sheetName val="FINAL AY17 18 CIP List"/>
      <sheetName val="AY2017 18 Registry to publish"/>
      <sheetName val="compare 7-2017 to 8-25-17"/>
      <sheetName val="from Dale 8-25-17"/>
      <sheetName val="QUERY_FOR_IR_CMD_DEPTCOL_0004"/>
      <sheetName val="Raw CIP CMD 08-24-17"/>
      <sheetName val="compare 7-2017 to 8-24-17"/>
      <sheetName val="UI_CIP_Jul2017 by college"/>
      <sheetName val="UI_CIP 8-8-17"/>
      <sheetName val="UI_CIP_Jul2017"/>
      <sheetName val="Coll_Dept_Maj_CIP"/>
      <sheetName val="NSC CIP2010 4-DIGIT CIP CODES"/>
      <sheetName val="NCS CIP20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LOAD TEMPLATE"/>
      <sheetName val="UPLOAD DIRECTIONS"/>
      <sheetName val="SURVEY INSTRUCTIONS"/>
      <sheetName val="INSTITUTIONAL BASICS"/>
      <sheetName val="6-DIGIT CIP CODES"/>
      <sheetName val="4-DIGIT CIP CODES"/>
      <sheetName val="IMPORTANT DATES"/>
      <sheetName val="PRICING AND ORDERING"/>
    </sheetNames>
    <sheetDataSet>
      <sheetData sheetId="0"/>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LOAD TEMPLATE"/>
      <sheetName val="UPLOAD DIRECTIONS"/>
      <sheetName val="SURVEY INSTRUCTIONS"/>
      <sheetName val="INSTITUTIONAL BASICS"/>
      <sheetName val="POSITION DESCRIPTIONS"/>
      <sheetName val="IMPORTANT DATES"/>
      <sheetName val="PRICING AND ORDERING"/>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verage current salary"/>
      <sheetName val="DATA"/>
      <sheetName val="Summary By College"/>
      <sheetName val="Avg Time in Rank Associate"/>
      <sheetName val="Gender Graphs"/>
      <sheetName val="JW graphs"/>
      <sheetName val="Salary Schedule A"/>
      <sheetName val="LongevityTargets"/>
      <sheetName val="Contract Hours"/>
    </sheetNames>
    <sheetDataSet>
      <sheetData sheetId="0"/>
      <sheetData sheetId="1"/>
      <sheetData sheetId="2"/>
      <sheetData sheetId="3"/>
      <sheetData sheetId="4"/>
      <sheetData sheetId="5"/>
      <sheetData sheetId="6"/>
      <sheetData sheetId="7"/>
      <sheetData sheetId="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BC48CA7-D3E7-4830-8C8E-6C24305BB174}" name="Table4" displayName="Table4" ref="A2:H115" totalsRowShown="0" headerRowDxfId="12" dataDxfId="10" headerRowBorderDxfId="11" tableBorderDxfId="9" totalsRowBorderDxfId="8" headerRowCellStyle="Comma 2" dataCellStyle="Normal 2 2">
  <autoFilter ref="A2:H115" xr:uid="{771204CA-7523-4AB4-8A77-588D1970AF52}"/>
  <tableColumns count="8">
    <tableColumn id="1" xr3:uid="{F0D0A28A-0AF7-4F9F-9025-36AEA4ADBB5C}" name="CIP Code &amp; Discipline" dataDxfId="7" dataCellStyle="Normal 2 2"/>
    <tableColumn id="2" xr3:uid="{C559F3ED-C123-409B-B85A-1708EB5D9E7E}" name="Post Doc" dataDxfId="6" dataCellStyle="Normal 2 2"/>
    <tableColumn id="3" xr3:uid="{769F9A1E-9AAB-4ED4-9748-B8CC0CCACCC8}" name="Instructor" dataDxfId="5" dataCellStyle="Normal 2 2"/>
    <tableColumn id="4" xr3:uid="{746AE1D2-862B-4A35-9117-47762F30F97E}" name="Senior Instructor" dataDxfId="4" dataCellStyle="Normal 2 2"/>
    <tableColumn id="5" xr3:uid="{3833E916-E717-45EA-9AEA-D65D7FE4D8A7}" name="Assistant Professor" dataDxfId="3" dataCellStyle="Normal 2 2"/>
    <tableColumn id="6" xr3:uid="{41AAC9F0-7349-4E86-800D-473DC5C70A65}" name="Associate Professor" dataDxfId="2" dataCellStyle="Normal 2 2"/>
    <tableColumn id="7" xr3:uid="{1842647C-73AA-4C9C-807F-5DCBCF011F58}" name="Professor" dataDxfId="1" dataCellStyle="Normal 2 2"/>
    <tableColumn id="8" xr3:uid="{C24CB8A8-9916-445F-81AB-2E84ADFBD817}" name="Distinguished Professor" dataDxfId="0" dataCellStyle="Normal 2 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D1CD6-33DA-406D-AD45-28B40375CA72}">
  <sheetPr>
    <pageSetUpPr fitToPage="1"/>
  </sheetPr>
  <dimension ref="B1:H29"/>
  <sheetViews>
    <sheetView showGridLines="0" tabSelected="1" zoomScaleNormal="100" workbookViewId="0">
      <selection activeCell="C25" sqref="C25"/>
    </sheetView>
  </sheetViews>
  <sheetFormatPr defaultColWidth="9.1796875" defaultRowHeight="15" x14ac:dyDescent="0.4"/>
  <cols>
    <col min="1" max="1" width="3.453125" style="3" customWidth="1"/>
    <col min="2" max="2" width="40.81640625" style="3" customWidth="1"/>
    <col min="3" max="3" width="80.453125" style="3" customWidth="1"/>
    <col min="4" max="4" width="3.453125" style="3" customWidth="1"/>
    <col min="5" max="5" width="16.6328125" style="3" hidden="1" customWidth="1"/>
    <col min="6" max="6" width="12.453125" style="3" hidden="1" customWidth="1"/>
    <col min="7" max="8" width="14.1796875" style="3" hidden="1" customWidth="1"/>
    <col min="9" max="16384" width="9.1796875" style="3"/>
  </cols>
  <sheetData>
    <row r="1" spans="2:8" ht="98" customHeight="1" x14ac:dyDescent="0.4">
      <c r="B1" s="54"/>
      <c r="C1" s="54"/>
    </row>
    <row r="2" spans="2:8" ht="91" customHeight="1" x14ac:dyDescent="0.4">
      <c r="B2" s="56" t="s">
        <v>152</v>
      </c>
      <c r="C2" s="57"/>
      <c r="D2" s="24"/>
    </row>
    <row r="3" spans="2:8" ht="47" customHeight="1" x14ac:dyDescent="0.4">
      <c r="B3" s="57" t="s">
        <v>129</v>
      </c>
      <c r="C3" s="57"/>
      <c r="D3" s="25"/>
    </row>
    <row r="4" spans="2:8" ht="32.25" customHeight="1" x14ac:dyDescent="0.4">
      <c r="B4" s="58" t="s">
        <v>151</v>
      </c>
      <c r="C4" s="57"/>
    </row>
    <row r="5" spans="2:8" ht="15.75" customHeight="1" x14ac:dyDescent="0.4">
      <c r="B5" s="27"/>
      <c r="C5" s="26"/>
    </row>
    <row r="7" spans="2:8" x14ac:dyDescent="0.4">
      <c r="B7" s="55" t="s">
        <v>149</v>
      </c>
      <c r="C7" s="55"/>
    </row>
    <row r="8" spans="2:8" x14ac:dyDescent="0.4">
      <c r="B8" s="11" t="s">
        <v>124</v>
      </c>
      <c r="C8" s="48" t="s">
        <v>21</v>
      </c>
      <c r="E8" s="3">
        <f>MATCH(C8,Table4[CIP Code &amp; Discipline],0)</f>
        <v>1</v>
      </c>
    </row>
    <row r="9" spans="2:8" x14ac:dyDescent="0.4">
      <c r="B9" s="12" t="s">
        <v>1</v>
      </c>
      <c r="C9" s="49" t="s">
        <v>19</v>
      </c>
      <c r="E9" s="3">
        <f>MATCH(C9,Table4[[#Headers],[Post Doc]:[Distinguished Professor]],0)</f>
        <v>1</v>
      </c>
    </row>
    <row r="10" spans="2:8" x14ac:dyDescent="0.4">
      <c r="B10" s="12" t="s">
        <v>6</v>
      </c>
      <c r="C10" s="49" t="s">
        <v>7</v>
      </c>
      <c r="E10" s="8">
        <f>INDEX(Table4[[Post Doc]:[Distinguished Professor]],Calculator!$E$8,Calculator!E$9)</f>
        <v>38824.923666000002</v>
      </c>
    </row>
    <row r="11" spans="2:8" x14ac:dyDescent="0.4">
      <c r="B11" s="12" t="s">
        <v>4</v>
      </c>
      <c r="C11" s="13">
        <f>E10</f>
        <v>38824.923666000002</v>
      </c>
      <c r="E11" s="8">
        <f>IF(C10="AY",E10,E10/0.8182)</f>
        <v>38824.923666000002</v>
      </c>
      <c r="F11" s="47">
        <f>(IF($C$10="AY",$E$10/1560,$E$10/2080))</f>
        <v>24.887771580769233</v>
      </c>
      <c r="G11" s="9">
        <f>ROUNDDOWN(F11,2)</f>
        <v>24.88</v>
      </c>
      <c r="H11" s="8">
        <f>IF(C10="AY",G11*1560,G11*2080)</f>
        <v>38812.799999999996</v>
      </c>
    </row>
    <row r="12" spans="2:8" x14ac:dyDescent="0.4">
      <c r="B12" s="12" t="s">
        <v>9</v>
      </c>
      <c r="C12" s="50">
        <v>1</v>
      </c>
      <c r="E12" s="8">
        <f>C12*E11</f>
        <v>38824.923666000002</v>
      </c>
    </row>
    <row r="13" spans="2:8" x14ac:dyDescent="0.4">
      <c r="B13" s="16" t="s">
        <v>125</v>
      </c>
      <c r="C13" s="17">
        <f>E12</f>
        <v>38824.923666000002</v>
      </c>
      <c r="E13" s="9">
        <f>(IF($C$10="AY",$C$13/1560,$C$13/2080))</f>
        <v>24.887771580769233</v>
      </c>
      <c r="F13" s="9">
        <f>ROUNDUP(E13,2)</f>
        <v>24.89</v>
      </c>
      <c r="G13" s="8">
        <f>IF($C$10="AY",$F$13*1560,$F$13*2080)</f>
        <v>38828.400000000001</v>
      </c>
    </row>
    <row r="14" spans="2:8" x14ac:dyDescent="0.4">
      <c r="B14" s="14" t="s">
        <v>127</v>
      </c>
      <c r="C14" s="15">
        <f>C13*0.8</f>
        <v>31059.938932800003</v>
      </c>
      <c r="E14" s="47">
        <f>IF(G13&gt;E10,E12,G13)</f>
        <v>38824.923666000002</v>
      </c>
    </row>
    <row r="15" spans="2:8" x14ac:dyDescent="0.4">
      <c r="B15" s="18" t="s">
        <v>130</v>
      </c>
      <c r="C15" s="19">
        <f>IF(G13&gt;C11,H11,G13)</f>
        <v>38812.799999999996</v>
      </c>
    </row>
    <row r="16" spans="2:8" x14ac:dyDescent="0.4">
      <c r="B16" s="14" t="s">
        <v>128</v>
      </c>
      <c r="C16" s="15">
        <f>G16</f>
        <v>31075.200000000004</v>
      </c>
      <c r="E16" s="9">
        <f>(IF($C$10="AY",$C$14/1560,$C$14/2080))</f>
        <v>19.910217264615387</v>
      </c>
      <c r="F16" s="9">
        <f>ROUNDUP(E16,2)</f>
        <v>19.920000000000002</v>
      </c>
      <c r="G16" s="8">
        <f>IF($C$10="AY",$F$16*1560,$F$16*2080)</f>
        <v>31075.200000000004</v>
      </c>
    </row>
    <row r="18" spans="2:7" x14ac:dyDescent="0.4">
      <c r="B18" s="55" t="s">
        <v>150</v>
      </c>
      <c r="C18" s="55"/>
    </row>
    <row r="19" spans="2:7" x14ac:dyDescent="0.4">
      <c r="B19" s="11" t="s">
        <v>124</v>
      </c>
      <c r="C19" s="51" t="s">
        <v>21</v>
      </c>
      <c r="E19" s="3">
        <f>MATCH(C19,Table4[CIP Code &amp; Discipline],0)</f>
        <v>1</v>
      </c>
    </row>
    <row r="20" spans="2:7" x14ac:dyDescent="0.4">
      <c r="B20" s="12" t="s">
        <v>1</v>
      </c>
      <c r="C20" s="52" t="s">
        <v>10</v>
      </c>
      <c r="E20" s="3">
        <f>MATCH(C20,Table4[[#Headers],[Post Doc]:[Distinguished Professor]],0)</f>
        <v>4</v>
      </c>
    </row>
    <row r="21" spans="2:7" x14ac:dyDescent="0.4">
      <c r="B21" s="12" t="s">
        <v>6</v>
      </c>
      <c r="C21" s="52" t="s">
        <v>7</v>
      </c>
      <c r="E21" s="8">
        <f>INDEX(Table4[[Post Doc]:[Distinguished Professor]],Calculator!$E$19,Calculator!E$20)</f>
        <v>90012.13</v>
      </c>
    </row>
    <row r="22" spans="2:7" x14ac:dyDescent="0.4">
      <c r="B22" s="12" t="s">
        <v>126</v>
      </c>
      <c r="C22" s="52" t="s">
        <v>16</v>
      </c>
      <c r="E22" s="8">
        <f>IF(C21="AY",E21,E21/0.8182)</f>
        <v>90012.13</v>
      </c>
    </row>
    <row r="23" spans="2:7" x14ac:dyDescent="0.4">
      <c r="B23" s="12" t="s">
        <v>4</v>
      </c>
      <c r="C23" s="13">
        <f>E21</f>
        <v>90012.13</v>
      </c>
      <c r="E23" s="8">
        <f>IF(C22="TT",E22,E22*0.9)</f>
        <v>90012.13</v>
      </c>
    </row>
    <row r="24" spans="2:7" x14ac:dyDescent="0.4">
      <c r="B24" s="30" t="s">
        <v>14</v>
      </c>
      <c r="C24" s="49">
        <v>0</v>
      </c>
      <c r="E24" s="3">
        <f>MATCH(C24,'FY21 Faculty Longevity'!$A$3:$A$48,0)</f>
        <v>1</v>
      </c>
      <c r="F24" s="10">
        <f>INDEX('FY21 Faculty Longevity'!B3:H48,Calculator!$E$24,Calculator!E$20)</f>
        <v>0.9</v>
      </c>
      <c r="G24" s="8">
        <f>E23*F24</f>
        <v>81010.917000000001</v>
      </c>
    </row>
    <row r="25" spans="2:7" x14ac:dyDescent="0.4">
      <c r="B25" s="12" t="s">
        <v>9</v>
      </c>
      <c r="C25" s="50">
        <v>1</v>
      </c>
      <c r="E25" s="8">
        <f>G24*C25</f>
        <v>81010.917000000001</v>
      </c>
    </row>
    <row r="26" spans="2:7" x14ac:dyDescent="0.4">
      <c r="B26" s="22" t="s">
        <v>125</v>
      </c>
      <c r="C26" s="23">
        <f>IF(E25&lt;E22,E25,E22)</f>
        <v>81010.917000000001</v>
      </c>
      <c r="E26" s="9">
        <f>IF(C21="AY",C26/1560,C26/2080)</f>
        <v>51.930075000000002</v>
      </c>
      <c r="F26" s="9">
        <f>ROUNDUP(E26,2)</f>
        <v>51.94</v>
      </c>
      <c r="G26" s="8">
        <f>IF($C$21="AY",$F$26*1560,$F$26*2080)</f>
        <v>81026.399999999994</v>
      </c>
    </row>
    <row r="27" spans="2:7" x14ac:dyDescent="0.4">
      <c r="B27" s="20" t="s">
        <v>130</v>
      </c>
      <c r="C27" s="21">
        <f>IF(G26&gt;E23,G27,G26)</f>
        <v>81026.399999999994</v>
      </c>
      <c r="E27" s="9">
        <f>IF(C21="AY",E23/1560,E23/2080)</f>
        <v>57.700083333333339</v>
      </c>
      <c r="F27" s="9">
        <f>ROUNDDOWN(E27,2)</f>
        <v>57.7</v>
      </c>
      <c r="G27" s="8">
        <f>IF($C$21="AY",$F$27*1560,$F$27*2080)</f>
        <v>90012</v>
      </c>
    </row>
    <row r="28" spans="2:7" x14ac:dyDescent="0.4">
      <c r="B28" s="28"/>
      <c r="C28" s="29"/>
    </row>
    <row r="29" spans="2:7" x14ac:dyDescent="0.4">
      <c r="B29" s="46"/>
    </row>
  </sheetData>
  <sheetProtection algorithmName="SHA-512" hashValue="j5FzzeFnF274J70PSAksqoeLKHdn5HOcfgmZgOti3x5Xf///TDk3ULXeU2Y9qBQF5xswySs3Hq5e+OGm3w4wjA==" saltValue="2tLZ/nZfJma9Ei9DmfMhqA==" spinCount="100000" sheet="1" selectLockedCells="1"/>
  <mergeCells count="6">
    <mergeCell ref="B1:C1"/>
    <mergeCell ref="B18:C18"/>
    <mergeCell ref="B7:C7"/>
    <mergeCell ref="B2:C2"/>
    <mergeCell ref="B3:C3"/>
    <mergeCell ref="B4:C4"/>
  </mergeCells>
  <dataValidations count="3">
    <dataValidation type="list" allowBlank="1" showInputMessage="1" showErrorMessage="1" errorTitle="Invalid Entry!" error="This calculator is only valid for Post Docs, Instructors or Senior Instructors. If you need Asst, Assoc, Full or Distinguished Professor please use the calculator below. It is specific to those ranks." promptTitle="Rank" prompt="Please select the rank/title of the faculty member or candidate." sqref="C9" xr:uid="{9D482F4F-F65C-4226-AF53-2DD21B88ADCE}">
      <formula1>"Post Doc, Instructor, Senior Instructor"</formula1>
    </dataValidation>
    <dataValidation type="decimal" operator="lessThanOrEqual" allowBlank="1" showInputMessage="1" showErrorMessage="1" errorTitle="Invalid Entry!" error="FTE must be less than or equal to 1.000. FTE is calculated by how many hours the person will be working per week divided by 40." promptTitle="FTE" prompt="Please enter the total FTE the faculty member or candidate will be working." sqref="C12" xr:uid="{A0FED587-AA5F-4980-90D5-E05132CD7BE8}">
      <formula1>1</formula1>
    </dataValidation>
    <dataValidation type="decimal" operator="lessThanOrEqual" allowBlank="1" showInputMessage="1" showErrorMessage="1" errorTitle="Invalid Entry!" error="FTE must be less than or equal to 1.000. FTE is calculated by how many hours the person will be working per week divided by 40." promptTitle="FTE" prompt="Please select the FTE the faculty member or candidate will be working." sqref="C25" xr:uid="{832EBA2B-21CD-457A-8D10-09020378D783}">
      <formula1>1</formula1>
    </dataValidation>
  </dataValidations>
  <printOptions horizontalCentered="1" verticalCentered="1"/>
  <pageMargins left="0.25" right="0.25" top="0.75" bottom="0.75" header="0.3" footer="0.3"/>
  <pageSetup scale="81" orientation="landscape" horizontalDpi="1200" verticalDpi="1200"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errorTitle="Invalid Entry!" error="Please select an approved CIP code from the list. If you have the 6-digit CIP use the first 4 digits only." promptTitle="Select the 4-digit CIP" prompt="Select the 4-digit CIP that the faculty member or candidate has or will support. If you have the 6-digit CIP use the first 4 digits only." xr:uid="{1149B4E7-CB0B-488A-B047-6BDAFF7D54BB}">
          <x14:formula1>
            <xm:f>'FY21 Faculty Salary'!$A$3:$A$115</xm:f>
          </x14:formula1>
          <xm:sqref>C19</xm:sqref>
        </x14:dataValidation>
        <x14:dataValidation type="list" allowBlank="1" showInputMessage="1" showErrorMessage="1" errorTitle="Invalid Entry!" error="Please select one of the following:_x000a_Academic Year = AY_x000a_Fiscal Year = FY" promptTitle="Academic or Fiscal Year" prompt="Please select whether the faculty member or candidate will be academic year faculty (August to May) or fiscal year faculty (July 1 to June 30)." xr:uid="{D18457F9-5C85-4A22-BA74-6D4E67BA53BD}">
          <x14:formula1>
            <xm:f>'List Sheet'!$B$7:$B$8</xm:f>
          </x14:formula1>
          <xm:sqref>C10</xm:sqref>
        </x14:dataValidation>
        <x14:dataValidation type="list" allowBlank="1" showInputMessage="1" showErrorMessage="1" errorTitle="Invalid Entry!" error="This calculator is only valid for Asstistant, Associate, Full or Distinguished Professors. If you need Post Doc, Instructor or Senior Instructor please use the above calculator specific to those ranks." promptTitle="Rank" prompt="Please select the rank/title of the faculty member or candidate." xr:uid="{5F67DFF7-4720-48ED-878A-AE77EB3BA47B}">
          <x14:formula1>
            <xm:f>'FY21 Faculty Salary'!$E$2:$H$2</xm:f>
          </x14:formula1>
          <xm:sqref>C20</xm:sqref>
        </x14:dataValidation>
        <x14:dataValidation type="list" allowBlank="1" showInputMessage="1" showErrorMessage="1" errorTitle="Invalid Entry!" error="Please select how long the existing faculty member has been in the rank selected. If this is for a candidate select 0 (unless approval will be requested for years of credit toward promotion). Must be in full years." promptTitle="Longevity" prompt="Please select how long (in full completed years) the existing faculty member has been in the rank selected. If this is for a candidate, select 0 (unless approval for years of credit toward promotion will be requested)." xr:uid="{EA83E80B-027A-4C5D-8F83-BECFD2B24388}">
          <x14:formula1>
            <xm:f>'FY21 Faculty Longevity'!$A$3:$A$48</xm:f>
          </x14:formula1>
          <xm:sqref>C24</xm:sqref>
        </x14:dataValidation>
        <x14:dataValidation type="list" allowBlank="1" showInputMessage="1" showErrorMessage="1" errorTitle="Invalid Entry!" error="Please select one of the following: _x000a_Tenure Track = TT_x000a_Non-tenure Track = NTT_x000a_If this is for a tenured faculty member select tenure track (TT)." promptTitle="Tenure Type" prompt="Please select whether the position is tenure track or non-tenure track. If this is for a tenured faculty member select tenure track (TT)." xr:uid="{D4315785-79FB-4B50-850C-E111880D0650}">
          <x14:formula1>
            <xm:f>'List Sheet'!$B$19:$B$20</xm:f>
          </x14:formula1>
          <xm:sqref>C22</xm:sqref>
        </x14:dataValidation>
        <x14:dataValidation type="list" allowBlank="1" showInputMessage="1" showErrorMessage="1" errorTitle="Invalid Entry!" error="Please select one of the following: _x000a_Academic Year = AY_x000a_Fiscal Year = FY" promptTitle="Academic or Fiscal Year" prompt="Please select where the faculty member or candidate will be an academic year faculty (August to May) or a fiscal year faculty (fiscal years run July 1 to June 30)." xr:uid="{EA971673-0F24-4D08-BF59-0097D2C05A4A}">
          <x14:formula1>
            <xm:f>'List Sheet'!$B$21:$B$22</xm:f>
          </x14:formula1>
          <xm:sqref>C22</xm:sqref>
        </x14:dataValidation>
        <x14:dataValidation type="list" allowBlank="1" showInputMessage="1" showErrorMessage="1" errorTitle="Invalid Entry!" error="Please select one of the following: _x000a_Academic Year = AY_x000a_Fiscal Year = FY" promptTitle="Academic or Fiscal Year" prompt="Please select whether the faculty member or candidate will be academic year faculty (August to May) or fiscal year faculty (July 1 to June 30)." xr:uid="{4305119F-B098-44D0-86E9-80B1FFE336FD}">
          <x14:formula1>
            <xm:f>'List Sheet'!$B$21:$B$22</xm:f>
          </x14:formula1>
          <xm:sqref>C21</xm:sqref>
        </x14:dataValidation>
        <x14:dataValidation type="list" allowBlank="1" showInputMessage="1" showErrorMessage="1" errorTitle="Invalid Entry!" error="Please select an approved CIP code from the drop down list" promptTitle="Select the 4-digit CIP" prompt="Select the 4-digit CIP that the faculty member or candidate has or will support. If you have the 6-digit CIP use the first 4 digits only." xr:uid="{F2133036-D240-4975-9009-7018E0358FBD}">
          <x14:formula1>
            <xm:f>'FY21 Faculty Salary'!$A$3:$A$115</xm:f>
          </x14:formula1>
          <xm:sqref>C8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8F4A3-7BFA-48BC-8FD1-0178811695EE}">
  <dimension ref="A1:H115"/>
  <sheetViews>
    <sheetView workbookViewId="0">
      <selection activeCell="A26" sqref="A26"/>
    </sheetView>
  </sheetViews>
  <sheetFormatPr defaultColWidth="8.6328125" defaultRowHeight="15" x14ac:dyDescent="0.4"/>
  <cols>
    <col min="1" max="1" width="76.1796875" style="32" bestFit="1" customWidth="1"/>
    <col min="2" max="2" width="14.453125" style="32" bestFit="1" customWidth="1"/>
    <col min="3" max="3" width="13.1796875" style="32" customWidth="1"/>
    <col min="4" max="4" width="19.6328125" style="32" customWidth="1"/>
    <col min="5" max="5" width="21.81640625" style="32" customWidth="1"/>
    <col min="6" max="6" width="20.81640625" style="32" customWidth="1"/>
    <col min="7" max="7" width="15.81640625" style="32" bestFit="1" customWidth="1"/>
    <col min="8" max="8" width="24.6328125" style="32" customWidth="1"/>
    <col min="9" max="10" width="12.6328125" style="32" bestFit="1" customWidth="1"/>
    <col min="11" max="16384" width="8.6328125" style="32"/>
  </cols>
  <sheetData>
    <row r="1" spans="1:8" x14ac:dyDescent="0.4">
      <c r="A1" s="31" t="s">
        <v>143</v>
      </c>
      <c r="B1" s="33" t="s">
        <v>148</v>
      </c>
      <c r="C1" s="59" t="s">
        <v>123</v>
      </c>
      <c r="D1" s="60"/>
      <c r="E1" s="60"/>
      <c r="F1" s="60"/>
      <c r="G1" s="61"/>
      <c r="H1" s="33"/>
    </row>
    <row r="2" spans="1:8" x14ac:dyDescent="0.4">
      <c r="A2" s="37" t="s">
        <v>20</v>
      </c>
      <c r="B2" s="38" t="s">
        <v>19</v>
      </c>
      <c r="C2" s="38" t="s">
        <v>2</v>
      </c>
      <c r="D2" s="39" t="s">
        <v>3</v>
      </c>
      <c r="E2" s="40" t="s">
        <v>10</v>
      </c>
      <c r="F2" s="39" t="s">
        <v>11</v>
      </c>
      <c r="G2" s="40" t="s">
        <v>131</v>
      </c>
      <c r="H2" s="41" t="s">
        <v>13</v>
      </c>
    </row>
    <row r="3" spans="1:8" x14ac:dyDescent="0.4">
      <c r="A3" s="35" t="s">
        <v>21</v>
      </c>
      <c r="B3" s="34">
        <f>47451.63*0.8182</f>
        <v>38824.923666000002</v>
      </c>
      <c r="C3" s="34">
        <v>68541.240000000005</v>
      </c>
      <c r="D3" s="34">
        <v>73813.64</v>
      </c>
      <c r="E3" s="34">
        <v>90012.13</v>
      </c>
      <c r="F3" s="34">
        <v>105448.06</v>
      </c>
      <c r="G3" s="34">
        <v>129195.48</v>
      </c>
      <c r="H3" s="36">
        <v>129195.48</v>
      </c>
    </row>
    <row r="4" spans="1:8" x14ac:dyDescent="0.4">
      <c r="A4" s="35" t="s">
        <v>22</v>
      </c>
      <c r="B4" s="34">
        <v>0</v>
      </c>
      <c r="C4" s="34">
        <v>0</v>
      </c>
      <c r="D4" s="34">
        <v>0</v>
      </c>
      <c r="E4" s="34">
        <v>0</v>
      </c>
      <c r="F4" s="34">
        <v>0</v>
      </c>
      <c r="G4" s="34">
        <v>0</v>
      </c>
      <c r="H4" s="36">
        <v>0</v>
      </c>
    </row>
    <row r="5" spans="1:8" x14ac:dyDescent="0.4">
      <c r="A5" s="35" t="s">
        <v>23</v>
      </c>
      <c r="B5" s="34">
        <f>39239.04*0.8182</f>
        <v>32105.382528000002</v>
      </c>
      <c r="C5" s="34">
        <v>56678.61</v>
      </c>
      <c r="D5" s="34">
        <v>61038.51</v>
      </c>
      <c r="E5" s="34">
        <v>82560.87</v>
      </c>
      <c r="F5" s="34">
        <v>87197.87</v>
      </c>
      <c r="G5" s="34">
        <v>123696.6</v>
      </c>
      <c r="H5" s="36">
        <v>123696.6</v>
      </c>
    </row>
    <row r="6" spans="1:8" x14ac:dyDescent="0.4">
      <c r="A6" s="35" t="s">
        <v>24</v>
      </c>
      <c r="B6" s="34">
        <f>33395.6*0.8182</f>
        <v>27324.279920000001</v>
      </c>
      <c r="C6" s="34">
        <v>48238.09</v>
      </c>
      <c r="D6" s="34">
        <v>51948.72</v>
      </c>
      <c r="E6" s="34">
        <v>64063.1</v>
      </c>
      <c r="F6" s="34">
        <v>74212.45</v>
      </c>
      <c r="G6" s="34">
        <v>100488.97</v>
      </c>
      <c r="H6" s="36">
        <v>100488.97</v>
      </c>
    </row>
    <row r="7" spans="1:8" x14ac:dyDescent="0.4">
      <c r="A7" s="35" t="s">
        <v>25</v>
      </c>
      <c r="B7" s="34">
        <f>40827.07*0.8182</f>
        <v>33404.708674000001</v>
      </c>
      <c r="C7" s="34">
        <v>58972.44</v>
      </c>
      <c r="D7" s="34">
        <v>63508.78</v>
      </c>
      <c r="E7" s="34">
        <v>78850.039999999994</v>
      </c>
      <c r="F7" s="34">
        <v>90726.83</v>
      </c>
      <c r="G7" s="34">
        <v>115281.17</v>
      </c>
      <c r="H7" s="36">
        <v>115281.17</v>
      </c>
    </row>
    <row r="8" spans="1:8" x14ac:dyDescent="0.4">
      <c r="A8" s="35" t="s">
        <v>26</v>
      </c>
      <c r="B8" s="34">
        <f>39697.17*0.8182</f>
        <v>32480.224494000002</v>
      </c>
      <c r="C8" s="34">
        <v>57340.36</v>
      </c>
      <c r="D8" s="34">
        <v>61751.16</v>
      </c>
      <c r="E8" s="34">
        <v>82950.080000000002</v>
      </c>
      <c r="F8" s="34">
        <v>88215.94</v>
      </c>
      <c r="G8" s="34">
        <v>124477.05</v>
      </c>
      <c r="H8" s="36">
        <v>124477.05</v>
      </c>
    </row>
    <row r="9" spans="1:8" x14ac:dyDescent="0.4">
      <c r="A9" s="35" t="s">
        <v>27</v>
      </c>
      <c r="B9" s="34">
        <f>39015.99*0.8182</f>
        <v>31922.883018</v>
      </c>
      <c r="C9" s="34">
        <v>56356.43</v>
      </c>
      <c r="D9" s="34">
        <v>60691.54</v>
      </c>
      <c r="E9" s="34">
        <v>75668.31</v>
      </c>
      <c r="F9" s="34">
        <v>86702.2</v>
      </c>
      <c r="G9" s="34">
        <v>110069.82</v>
      </c>
      <c r="H9" s="36">
        <v>110069.82</v>
      </c>
    </row>
    <row r="10" spans="1:8" x14ac:dyDescent="0.4">
      <c r="A10" s="35" t="s">
        <v>28</v>
      </c>
      <c r="B10" s="34">
        <f>39875.49*0.8182</f>
        <v>32626.125918000002</v>
      </c>
      <c r="C10" s="34">
        <v>57597.93</v>
      </c>
      <c r="D10" s="34">
        <v>62028.54</v>
      </c>
      <c r="E10" s="34">
        <v>77961.539999999994</v>
      </c>
      <c r="F10" s="34">
        <v>88612.2</v>
      </c>
      <c r="G10" s="34">
        <v>112911.85</v>
      </c>
      <c r="H10" s="36">
        <v>112911.85</v>
      </c>
    </row>
    <row r="11" spans="1:8" x14ac:dyDescent="0.4">
      <c r="A11" s="35" t="s">
        <v>132</v>
      </c>
      <c r="B11" s="34">
        <f>41872.29*0.8182</f>
        <v>34259.907678000003</v>
      </c>
      <c r="C11" s="34">
        <v>60482.2</v>
      </c>
      <c r="D11" s="34">
        <v>65134.68</v>
      </c>
      <c r="E11" s="34">
        <v>80437.47</v>
      </c>
      <c r="F11" s="34">
        <v>93049.54</v>
      </c>
      <c r="G11" s="34">
        <v>122401.84</v>
      </c>
      <c r="H11" s="36">
        <v>122401.84</v>
      </c>
    </row>
    <row r="12" spans="1:8" x14ac:dyDescent="0.4">
      <c r="A12" s="35" t="s">
        <v>133</v>
      </c>
      <c r="B12" s="34">
        <f>41369.27*0.8182</f>
        <v>33848.336713999997</v>
      </c>
      <c r="C12" s="34">
        <v>59755.62</v>
      </c>
      <c r="D12" s="34">
        <v>64352.2</v>
      </c>
      <c r="E12" s="34">
        <v>83585.95</v>
      </c>
      <c r="F12" s="34">
        <v>91931.72</v>
      </c>
      <c r="G12" s="34">
        <v>114144.5</v>
      </c>
      <c r="H12" s="36">
        <v>114144.5</v>
      </c>
    </row>
    <row r="13" spans="1:8" x14ac:dyDescent="0.4">
      <c r="A13" s="35" t="s">
        <v>29</v>
      </c>
      <c r="B13" s="34">
        <f>38109.83*0.8182</f>
        <v>31181.462906000004</v>
      </c>
      <c r="C13" s="34">
        <v>55047.53</v>
      </c>
      <c r="D13" s="34">
        <v>59281.96</v>
      </c>
      <c r="E13" s="34">
        <v>75837.91</v>
      </c>
      <c r="F13" s="34">
        <v>84688.52</v>
      </c>
      <c r="G13" s="34">
        <v>117914.97</v>
      </c>
      <c r="H13" s="36">
        <v>117914.97</v>
      </c>
    </row>
    <row r="14" spans="1:8" x14ac:dyDescent="0.4">
      <c r="A14" s="35" t="s">
        <v>30</v>
      </c>
      <c r="B14" s="34">
        <f>40697.97*0.8182</f>
        <v>33299.079054000002</v>
      </c>
      <c r="C14" s="34">
        <v>58785.95</v>
      </c>
      <c r="D14" s="34">
        <v>63307.95</v>
      </c>
      <c r="E14" s="34">
        <v>77619.100000000006</v>
      </c>
      <c r="F14" s="34">
        <v>90439.92</v>
      </c>
      <c r="G14" s="34">
        <v>113987.16</v>
      </c>
      <c r="H14" s="36">
        <v>113987.16</v>
      </c>
    </row>
    <row r="15" spans="1:8" x14ac:dyDescent="0.4">
      <c r="A15" s="35" t="s">
        <v>31</v>
      </c>
      <c r="B15" s="34">
        <f>36945.91*0.8182</f>
        <v>30229.143562000005</v>
      </c>
      <c r="C15" s="34">
        <v>53366.32</v>
      </c>
      <c r="D15" s="34">
        <v>57471.42</v>
      </c>
      <c r="E15" s="34">
        <v>74947.78</v>
      </c>
      <c r="F15" s="34">
        <v>82102.03</v>
      </c>
      <c r="G15" s="34">
        <v>105510.79</v>
      </c>
      <c r="H15" s="36">
        <v>105510.79</v>
      </c>
    </row>
    <row r="16" spans="1:8" x14ac:dyDescent="0.4">
      <c r="A16" s="35" t="s">
        <v>32</v>
      </c>
      <c r="B16" s="34">
        <f>41785.14*0.8182</f>
        <v>34188.601547999999</v>
      </c>
      <c r="C16" s="34">
        <v>60356.31</v>
      </c>
      <c r="D16" s="34">
        <v>64999.11</v>
      </c>
      <c r="E16" s="34">
        <v>74902.19</v>
      </c>
      <c r="F16" s="34">
        <v>92855.87</v>
      </c>
      <c r="G16" s="34">
        <v>120834.97</v>
      </c>
      <c r="H16" s="36">
        <v>120834.97</v>
      </c>
    </row>
    <row r="17" spans="1:8" x14ac:dyDescent="0.4">
      <c r="A17" s="35" t="s">
        <v>33</v>
      </c>
      <c r="B17" s="34">
        <f>41689.2*0.8182</f>
        <v>34110.103439999999</v>
      </c>
      <c r="C17" s="34">
        <v>60217.73</v>
      </c>
      <c r="D17" s="34">
        <v>64849.86</v>
      </c>
      <c r="E17" s="34">
        <v>78101.740000000005</v>
      </c>
      <c r="F17" s="34">
        <v>92642.66</v>
      </c>
      <c r="G17" s="34">
        <v>119920.42</v>
      </c>
      <c r="H17" s="36">
        <v>119920.42</v>
      </c>
    </row>
    <row r="18" spans="1:8" x14ac:dyDescent="0.4">
      <c r="A18" s="35" t="s">
        <v>134</v>
      </c>
      <c r="B18" s="34">
        <f>38452.5*0.8182</f>
        <v>31461.835500000001</v>
      </c>
      <c r="C18" s="34">
        <v>55679.09</v>
      </c>
      <c r="D18" s="34">
        <v>59962.09</v>
      </c>
      <c r="E18" s="34">
        <v>76889.33</v>
      </c>
      <c r="F18" s="34">
        <v>85660.14</v>
      </c>
      <c r="G18" s="34">
        <v>114832.61</v>
      </c>
      <c r="H18" s="36">
        <v>114832.61</v>
      </c>
    </row>
    <row r="19" spans="1:8" x14ac:dyDescent="0.4">
      <c r="A19" s="35" t="s">
        <v>34</v>
      </c>
      <c r="B19" s="34">
        <f>40148.82*0.8182</f>
        <v>32849.764523999998</v>
      </c>
      <c r="C19" s="34">
        <v>57992.75</v>
      </c>
      <c r="D19" s="34">
        <v>62453.73</v>
      </c>
      <c r="E19" s="34">
        <v>73753.86</v>
      </c>
      <c r="F19" s="34">
        <v>89219.61</v>
      </c>
      <c r="G19" s="34">
        <v>120876.79</v>
      </c>
      <c r="H19" s="36">
        <v>120876.79</v>
      </c>
    </row>
    <row r="20" spans="1:8" x14ac:dyDescent="0.4">
      <c r="A20" s="35" t="s">
        <v>35</v>
      </c>
      <c r="B20" s="34">
        <f>40394.4*0.8182</f>
        <v>33050.698080000002</v>
      </c>
      <c r="C20" s="34">
        <v>58347.46</v>
      </c>
      <c r="D20" s="34">
        <v>62835.73</v>
      </c>
      <c r="E20" s="34">
        <v>75770.460000000006</v>
      </c>
      <c r="F20" s="34">
        <v>89765.32</v>
      </c>
      <c r="G20" s="34">
        <v>128573.67</v>
      </c>
      <c r="H20" s="36">
        <v>128573.67</v>
      </c>
    </row>
    <row r="21" spans="1:8" x14ac:dyDescent="0.4">
      <c r="A21" s="35" t="s">
        <v>135</v>
      </c>
      <c r="B21" s="34">
        <f>36835.47*0.8182</f>
        <v>30138.781554000001</v>
      </c>
      <c r="C21" s="34">
        <v>53206.79</v>
      </c>
      <c r="D21" s="34">
        <v>57299.62</v>
      </c>
      <c r="E21" s="34">
        <v>69706.600000000006</v>
      </c>
      <c r="F21" s="34">
        <v>81856.600000000006</v>
      </c>
      <c r="G21" s="34">
        <v>109403.45</v>
      </c>
      <c r="H21" s="36">
        <v>109403.45</v>
      </c>
    </row>
    <row r="22" spans="1:8" x14ac:dyDescent="0.4">
      <c r="A22" s="35" t="s">
        <v>36</v>
      </c>
      <c r="B22" s="34">
        <f>40205.59*0.8182</f>
        <v>32896.213737999999</v>
      </c>
      <c r="C22" s="34">
        <v>58074.74</v>
      </c>
      <c r="D22" s="34">
        <v>62542.03</v>
      </c>
      <c r="E22" s="34">
        <v>72859.53</v>
      </c>
      <c r="F22" s="34">
        <v>89345.75</v>
      </c>
      <c r="G22" s="34">
        <v>117211.05</v>
      </c>
      <c r="H22" s="36">
        <v>117211.05</v>
      </c>
    </row>
    <row r="23" spans="1:8" x14ac:dyDescent="0.4">
      <c r="A23" s="35" t="s">
        <v>37</v>
      </c>
      <c r="B23" s="34">
        <f>37193.34*0.8182</f>
        <v>30431.590787999998</v>
      </c>
      <c r="C23" s="34">
        <v>53723.71</v>
      </c>
      <c r="D23" s="34">
        <v>57856.3</v>
      </c>
      <c r="E23" s="34">
        <v>71616.25</v>
      </c>
      <c r="F23" s="34">
        <v>82651.86</v>
      </c>
      <c r="G23" s="34">
        <v>120900.44</v>
      </c>
      <c r="H23" s="36">
        <v>120900.44</v>
      </c>
    </row>
    <row r="24" spans="1:8" x14ac:dyDescent="0.4">
      <c r="A24" s="35" t="s">
        <v>38</v>
      </c>
      <c r="B24" s="34">
        <f>40972.23*0.8182</f>
        <v>33523.478586000005</v>
      </c>
      <c r="C24" s="34">
        <v>59182.11</v>
      </c>
      <c r="D24" s="34">
        <v>63734.58</v>
      </c>
      <c r="E24" s="34">
        <v>77561.850000000006</v>
      </c>
      <c r="F24" s="34">
        <v>91049.39</v>
      </c>
      <c r="G24" s="34">
        <v>114035.49</v>
      </c>
      <c r="H24" s="36">
        <v>114035.49</v>
      </c>
    </row>
    <row r="25" spans="1:8" x14ac:dyDescent="0.4">
      <c r="A25" s="35" t="s">
        <v>39</v>
      </c>
      <c r="B25" s="34">
        <f>39810.55*0.8182</f>
        <v>32572.992010000005</v>
      </c>
      <c r="C25" s="34">
        <v>57504.12</v>
      </c>
      <c r="D25" s="34">
        <v>61927.519999999997</v>
      </c>
      <c r="E25" s="34">
        <v>73187.649999999994</v>
      </c>
      <c r="F25" s="34">
        <v>88467.88</v>
      </c>
      <c r="G25" s="34">
        <v>112496.12</v>
      </c>
      <c r="H25" s="36">
        <v>112496.12</v>
      </c>
    </row>
    <row r="26" spans="1:8" x14ac:dyDescent="0.4">
      <c r="A26" s="35" t="s">
        <v>40</v>
      </c>
      <c r="B26" s="34">
        <f>51120.84*0.8182</f>
        <v>41827.071287999999</v>
      </c>
      <c r="C26" s="34">
        <v>73841.22</v>
      </c>
      <c r="D26" s="34">
        <v>79521.31</v>
      </c>
      <c r="E26" s="34">
        <v>98368.53</v>
      </c>
      <c r="F26" s="34">
        <v>113601.87</v>
      </c>
      <c r="G26" s="34">
        <v>141718.09</v>
      </c>
      <c r="H26" s="36">
        <v>141718.09</v>
      </c>
    </row>
    <row r="27" spans="1:8" x14ac:dyDescent="0.4">
      <c r="A27" s="35" t="s">
        <v>41</v>
      </c>
      <c r="B27" s="34">
        <f>40115.35*0.8182</f>
        <v>32822.379370000002</v>
      </c>
      <c r="C27" s="34">
        <v>57944.4</v>
      </c>
      <c r="D27" s="34">
        <v>62401.66</v>
      </c>
      <c r="E27" s="34">
        <v>73869.03</v>
      </c>
      <c r="F27" s="34">
        <v>89145.23</v>
      </c>
      <c r="G27" s="34">
        <v>116049.35</v>
      </c>
      <c r="H27" s="36">
        <v>116049.35</v>
      </c>
    </row>
    <row r="28" spans="1:8" x14ac:dyDescent="0.4">
      <c r="A28" s="35" t="s">
        <v>42</v>
      </c>
      <c r="B28" s="34">
        <f>36742.3*0.8182</f>
        <v>30062.549860000003</v>
      </c>
      <c r="C28" s="34">
        <v>53072.21</v>
      </c>
      <c r="D28" s="34">
        <v>57154.69</v>
      </c>
      <c r="E28" s="34">
        <v>69917.070000000007</v>
      </c>
      <c r="F28" s="34">
        <v>81649.56</v>
      </c>
      <c r="G28" s="34">
        <v>105977.32</v>
      </c>
      <c r="H28" s="36">
        <v>105977.32</v>
      </c>
    </row>
    <row r="29" spans="1:8" x14ac:dyDescent="0.4">
      <c r="A29" s="35" t="s">
        <v>43</v>
      </c>
      <c r="B29" s="34">
        <f>39271.43*0.8182</f>
        <v>32131.884026000003</v>
      </c>
      <c r="C29" s="34">
        <v>56725.4</v>
      </c>
      <c r="D29" s="34">
        <v>61088.9</v>
      </c>
      <c r="E29" s="34">
        <v>72626.44</v>
      </c>
      <c r="F29" s="34">
        <v>87269.85</v>
      </c>
      <c r="G29" s="34">
        <v>119009.64</v>
      </c>
      <c r="H29" s="36">
        <v>119009.64</v>
      </c>
    </row>
    <row r="30" spans="1:8" x14ac:dyDescent="0.4">
      <c r="A30" s="35" t="s">
        <v>44</v>
      </c>
      <c r="B30" s="34">
        <f>36305.76*0.8182</f>
        <v>29705.372832000005</v>
      </c>
      <c r="C30" s="34">
        <v>52441.66</v>
      </c>
      <c r="D30" s="34">
        <v>56475.63</v>
      </c>
      <c r="E30" s="34">
        <v>69230.13</v>
      </c>
      <c r="F30" s="34">
        <v>80679.48</v>
      </c>
      <c r="G30" s="34">
        <v>104037.16</v>
      </c>
      <c r="H30" s="36">
        <v>104037.16</v>
      </c>
    </row>
    <row r="31" spans="1:8" x14ac:dyDescent="0.4">
      <c r="A31" s="35" t="s">
        <v>45</v>
      </c>
      <c r="B31" s="34">
        <f>36749.24*0.8182</f>
        <v>30068.228168000001</v>
      </c>
      <c r="C31" s="34">
        <v>53082.239999999998</v>
      </c>
      <c r="D31" s="34">
        <v>57165.49</v>
      </c>
      <c r="E31" s="34">
        <v>68533.94</v>
      </c>
      <c r="F31" s="34">
        <v>81664.98</v>
      </c>
      <c r="G31" s="34">
        <v>103830.11</v>
      </c>
      <c r="H31" s="36">
        <v>103830.11</v>
      </c>
    </row>
    <row r="32" spans="1:8" x14ac:dyDescent="0.4">
      <c r="A32" s="35" t="s">
        <v>46</v>
      </c>
      <c r="B32" s="34">
        <f>35886.04*0.8182</f>
        <v>29361.957928000003</v>
      </c>
      <c r="C32" s="34">
        <v>51835.39</v>
      </c>
      <c r="D32" s="34">
        <v>55822.73</v>
      </c>
      <c r="E32" s="34">
        <v>67522.38</v>
      </c>
      <c r="F32" s="34">
        <v>79746.759999999995</v>
      </c>
      <c r="G32" s="34">
        <v>98630.42</v>
      </c>
      <c r="H32" s="36">
        <v>98630.42</v>
      </c>
    </row>
    <row r="33" spans="1:8" x14ac:dyDescent="0.4">
      <c r="A33" s="35" t="s">
        <v>47</v>
      </c>
      <c r="B33" s="34">
        <f>36909.51*0.8182</f>
        <v>30199.361082000003</v>
      </c>
      <c r="C33" s="34">
        <v>53313.74</v>
      </c>
      <c r="D33" s="34">
        <v>57414.79</v>
      </c>
      <c r="E33" s="34">
        <v>69684.320000000007</v>
      </c>
      <c r="F33" s="34">
        <v>82021.13</v>
      </c>
      <c r="G33" s="34">
        <v>110820.52</v>
      </c>
      <c r="H33" s="36">
        <v>110820.52</v>
      </c>
    </row>
    <row r="34" spans="1:8" x14ac:dyDescent="0.4">
      <c r="A34" s="35" t="s">
        <v>48</v>
      </c>
      <c r="B34" s="34">
        <f>32566.52*0.8182</f>
        <v>26645.926664000002</v>
      </c>
      <c r="C34" s="34">
        <v>47040.52</v>
      </c>
      <c r="D34" s="34">
        <v>50659.03</v>
      </c>
      <c r="E34" s="34">
        <v>65480.07</v>
      </c>
      <c r="F34" s="34">
        <v>72370.039999999994</v>
      </c>
      <c r="G34" s="34">
        <v>105052.14</v>
      </c>
      <c r="H34" s="36">
        <v>105052.14</v>
      </c>
    </row>
    <row r="35" spans="1:8" x14ac:dyDescent="0.4">
      <c r="A35" s="35" t="s">
        <v>49</v>
      </c>
      <c r="B35" s="34">
        <f>49908.41*0.8182</f>
        <v>40835.061062000008</v>
      </c>
      <c r="C35" s="34">
        <v>72089.929999999993</v>
      </c>
      <c r="D35" s="34">
        <v>77635.31</v>
      </c>
      <c r="E35" s="34">
        <v>96096.55</v>
      </c>
      <c r="F35" s="34">
        <v>110907.59</v>
      </c>
      <c r="G35" s="34">
        <v>154540.28</v>
      </c>
      <c r="H35" s="36">
        <v>154540.28</v>
      </c>
    </row>
    <row r="36" spans="1:8" x14ac:dyDescent="0.4">
      <c r="A36" s="35" t="s">
        <v>50</v>
      </c>
      <c r="B36" s="34">
        <f>47435.12*0.8182</f>
        <v>38811.415184000005</v>
      </c>
      <c r="C36" s="34">
        <v>68517.399999999994</v>
      </c>
      <c r="D36" s="34">
        <v>73787.960000000006</v>
      </c>
      <c r="E36" s="34">
        <v>90903.71</v>
      </c>
      <c r="F36" s="34">
        <v>105411.38</v>
      </c>
      <c r="G36" s="34">
        <v>141507.26999999999</v>
      </c>
      <c r="H36" s="36">
        <v>141507.26999999999</v>
      </c>
    </row>
    <row r="37" spans="1:8" x14ac:dyDescent="0.4">
      <c r="A37" s="35" t="s">
        <v>51</v>
      </c>
      <c r="B37" s="34">
        <f>48803.04*0.8182</f>
        <v>39930.647327999999</v>
      </c>
      <c r="C37" s="34">
        <v>70493.27</v>
      </c>
      <c r="D37" s="34">
        <v>75915.83</v>
      </c>
      <c r="E37" s="34">
        <v>95424.01</v>
      </c>
      <c r="F37" s="34">
        <v>108451.19</v>
      </c>
      <c r="G37" s="34">
        <v>140714.76</v>
      </c>
      <c r="H37" s="36">
        <v>140714.76</v>
      </c>
    </row>
    <row r="38" spans="1:8" x14ac:dyDescent="0.4">
      <c r="A38" s="35" t="s">
        <v>52</v>
      </c>
      <c r="B38" s="34">
        <f>49600.83*0.8182</f>
        <v>40583.399106000004</v>
      </c>
      <c r="C38" s="34">
        <v>71645.649999999994</v>
      </c>
      <c r="D38" s="34">
        <v>77156.850000000006</v>
      </c>
      <c r="E38" s="34">
        <v>96541.49</v>
      </c>
      <c r="F38" s="34">
        <v>110224.07</v>
      </c>
      <c r="G38" s="34">
        <v>144337.64000000001</v>
      </c>
      <c r="H38" s="36">
        <v>144337.64000000001</v>
      </c>
    </row>
    <row r="39" spans="1:8" x14ac:dyDescent="0.4">
      <c r="A39" s="35" t="s">
        <v>53</v>
      </c>
      <c r="B39" s="34">
        <f>51394.49*0.8182</f>
        <v>42050.971718000001</v>
      </c>
      <c r="C39" s="34">
        <v>74236.479999999996</v>
      </c>
      <c r="D39" s="34">
        <v>79946.98</v>
      </c>
      <c r="E39" s="34">
        <v>100965.81</v>
      </c>
      <c r="F39" s="34">
        <v>114209.97</v>
      </c>
      <c r="G39" s="34">
        <v>164013.82</v>
      </c>
      <c r="H39" s="36">
        <v>164013.82</v>
      </c>
    </row>
    <row r="40" spans="1:8" x14ac:dyDescent="0.4">
      <c r="A40" s="35" t="s">
        <v>54</v>
      </c>
      <c r="B40" s="34">
        <f>48474.32*0.8182</f>
        <v>39661.688624000002</v>
      </c>
      <c r="C40" s="34">
        <v>70018.47</v>
      </c>
      <c r="D40" s="34">
        <v>75404.5</v>
      </c>
      <c r="E40" s="34">
        <v>93782.07</v>
      </c>
      <c r="F40" s="34">
        <v>107720.72</v>
      </c>
      <c r="G40" s="34">
        <v>143081.68</v>
      </c>
      <c r="H40" s="36">
        <v>143081.68</v>
      </c>
    </row>
    <row r="41" spans="1:8" x14ac:dyDescent="0.4">
      <c r="A41" s="35" t="s">
        <v>136</v>
      </c>
      <c r="B41" s="34">
        <v>0</v>
      </c>
      <c r="C41" s="34">
        <v>0</v>
      </c>
      <c r="D41" s="34">
        <v>0</v>
      </c>
      <c r="E41" s="34">
        <v>0</v>
      </c>
      <c r="F41" s="34">
        <v>0</v>
      </c>
      <c r="G41" s="34">
        <v>0</v>
      </c>
      <c r="H41" s="36">
        <v>0</v>
      </c>
    </row>
    <row r="42" spans="1:8" x14ac:dyDescent="0.4">
      <c r="A42" s="35" t="s">
        <v>55</v>
      </c>
      <c r="B42" s="34">
        <f>50918.15*0.8182</f>
        <v>41661.230330000006</v>
      </c>
      <c r="C42" s="34">
        <v>73548.44</v>
      </c>
      <c r="D42" s="34">
        <v>79206.02</v>
      </c>
      <c r="E42" s="34">
        <v>97106.74</v>
      </c>
      <c r="F42" s="34">
        <v>113151.45</v>
      </c>
      <c r="G42" s="34">
        <v>158308.51</v>
      </c>
      <c r="H42" s="36">
        <v>158308.51</v>
      </c>
    </row>
    <row r="43" spans="1:8" x14ac:dyDescent="0.4">
      <c r="A43" s="35" t="s">
        <v>56</v>
      </c>
      <c r="B43" s="34">
        <v>0</v>
      </c>
      <c r="C43" s="34">
        <v>0</v>
      </c>
      <c r="D43" s="34">
        <v>0</v>
      </c>
      <c r="E43" s="34">
        <v>0</v>
      </c>
      <c r="F43" s="34">
        <v>0</v>
      </c>
      <c r="G43" s="34">
        <v>126775.42</v>
      </c>
      <c r="H43" s="36">
        <v>126775.42</v>
      </c>
    </row>
    <row r="44" spans="1:8" x14ac:dyDescent="0.4">
      <c r="A44" s="35" t="s">
        <v>57</v>
      </c>
      <c r="B44" s="34">
        <f>42946.62*0.8182</f>
        <v>35138.924484000003</v>
      </c>
      <c r="C44" s="34">
        <v>62034.01</v>
      </c>
      <c r="D44" s="34">
        <v>66805.86</v>
      </c>
      <c r="E44" s="34">
        <v>93310.57</v>
      </c>
      <c r="F44" s="34">
        <v>95436.95</v>
      </c>
      <c r="G44" s="34">
        <v>129527.08</v>
      </c>
      <c r="H44" s="36">
        <v>129527.08</v>
      </c>
    </row>
    <row r="45" spans="1:8" x14ac:dyDescent="0.4">
      <c r="A45" s="35" t="s">
        <v>58</v>
      </c>
      <c r="B45" s="34">
        <f>48509.18*0.8182</f>
        <v>39690.211076</v>
      </c>
      <c r="C45" s="34">
        <v>70068.820000000007</v>
      </c>
      <c r="D45" s="34">
        <v>75458.73</v>
      </c>
      <c r="E45" s="34">
        <v>92306.04</v>
      </c>
      <c r="F45" s="34">
        <v>107798.19</v>
      </c>
      <c r="G45" s="34">
        <v>146323.74</v>
      </c>
      <c r="H45" s="36">
        <v>146323.74</v>
      </c>
    </row>
    <row r="46" spans="1:8" x14ac:dyDescent="0.4">
      <c r="A46" s="35" t="s">
        <v>59</v>
      </c>
      <c r="B46" s="34">
        <f>40250.63*0.8182</f>
        <v>32933.065466</v>
      </c>
      <c r="C46" s="34">
        <v>58139.8</v>
      </c>
      <c r="D46" s="34">
        <v>62612.09</v>
      </c>
      <c r="E46" s="34">
        <v>81080.53</v>
      </c>
      <c r="F46" s="34">
        <v>89445.85</v>
      </c>
      <c r="G46" s="34">
        <v>109928.59</v>
      </c>
      <c r="H46" s="36">
        <v>109928.59</v>
      </c>
    </row>
    <row r="47" spans="1:8" x14ac:dyDescent="0.4">
      <c r="A47" s="35" t="s">
        <v>60</v>
      </c>
      <c r="B47" s="34">
        <f>35138.69*0.8182</f>
        <v>28750.476158000005</v>
      </c>
      <c r="C47" s="34">
        <v>50755.88</v>
      </c>
      <c r="D47" s="34">
        <v>54660.18</v>
      </c>
      <c r="E47" s="34">
        <v>66660.960000000006</v>
      </c>
      <c r="F47" s="34">
        <v>78085.97</v>
      </c>
      <c r="G47" s="34">
        <v>102758.23</v>
      </c>
      <c r="H47" s="36">
        <v>102758.23</v>
      </c>
    </row>
    <row r="48" spans="1:8" x14ac:dyDescent="0.4">
      <c r="A48" s="35" t="s">
        <v>61</v>
      </c>
      <c r="B48" s="34">
        <f>35733.18*0.8182</f>
        <v>29236.887876000001</v>
      </c>
      <c r="C48" s="34">
        <v>51614.59</v>
      </c>
      <c r="D48" s="34">
        <v>55584.94</v>
      </c>
      <c r="E48" s="34">
        <v>68063.64</v>
      </c>
      <c r="F48" s="34">
        <v>79407.06</v>
      </c>
      <c r="G48" s="34">
        <v>104371.71</v>
      </c>
      <c r="H48" s="36">
        <v>104371.71</v>
      </c>
    </row>
    <row r="49" spans="1:8" x14ac:dyDescent="0.4">
      <c r="A49" s="35" t="s">
        <v>62</v>
      </c>
      <c r="B49" s="34">
        <f>37164.18*0.8182</f>
        <v>30407.732076</v>
      </c>
      <c r="C49" s="34">
        <v>53681.599999999999</v>
      </c>
      <c r="D49" s="34">
        <v>57810.95</v>
      </c>
      <c r="E49" s="34">
        <v>70927.94</v>
      </c>
      <c r="F49" s="34">
        <v>82587.070000000007</v>
      </c>
      <c r="G49" s="34">
        <v>107493.11</v>
      </c>
      <c r="H49" s="36">
        <v>107493.11</v>
      </c>
    </row>
    <row r="50" spans="1:8" x14ac:dyDescent="0.4">
      <c r="A50" s="35" t="s">
        <v>63</v>
      </c>
      <c r="B50" s="34">
        <f>40609.58*0.8182</f>
        <v>33226.758356000006</v>
      </c>
      <c r="C50" s="34">
        <v>58658.28</v>
      </c>
      <c r="D50" s="34">
        <v>63170.45</v>
      </c>
      <c r="E50" s="34">
        <v>75961.05</v>
      </c>
      <c r="F50" s="34">
        <v>90243.51</v>
      </c>
      <c r="G50" s="34">
        <v>123176.87</v>
      </c>
      <c r="H50" s="36">
        <v>123176.87</v>
      </c>
    </row>
    <row r="51" spans="1:8" x14ac:dyDescent="0.4">
      <c r="A51" s="35" t="s">
        <v>64</v>
      </c>
      <c r="B51" s="34">
        <f>38321.39*0.8182</f>
        <v>31354.561298000001</v>
      </c>
      <c r="C51" s="34">
        <v>55353.120000000003</v>
      </c>
      <c r="D51" s="34">
        <v>59611.05</v>
      </c>
      <c r="E51" s="34">
        <v>73021.33</v>
      </c>
      <c r="F51" s="34">
        <v>85158.64</v>
      </c>
      <c r="G51" s="34">
        <v>114937.7</v>
      </c>
      <c r="H51" s="36">
        <v>114937.7</v>
      </c>
    </row>
    <row r="52" spans="1:8" x14ac:dyDescent="0.4">
      <c r="A52" s="35" t="s">
        <v>65</v>
      </c>
      <c r="B52" s="34">
        <f>38035.71*0.8182</f>
        <v>31120.817922000002</v>
      </c>
      <c r="C52" s="34">
        <v>54940.47</v>
      </c>
      <c r="D52" s="34">
        <v>59166.66</v>
      </c>
      <c r="E52" s="34">
        <v>73900.570000000007</v>
      </c>
      <c r="F52" s="34">
        <v>84523.8</v>
      </c>
      <c r="G52" s="34">
        <v>121193.52</v>
      </c>
      <c r="H52" s="36">
        <v>121193.52</v>
      </c>
    </row>
    <row r="53" spans="1:8" x14ac:dyDescent="0.4">
      <c r="A53" s="35" t="s">
        <v>66</v>
      </c>
      <c r="B53" s="34">
        <f>60707.51*0.8182</f>
        <v>49670.884682000004</v>
      </c>
      <c r="C53" s="34">
        <v>87688.63</v>
      </c>
      <c r="D53" s="34">
        <v>94433.91</v>
      </c>
      <c r="E53" s="34">
        <v>116131.28</v>
      </c>
      <c r="F53" s="34">
        <v>134905.59</v>
      </c>
      <c r="G53" s="34">
        <v>175035.03</v>
      </c>
      <c r="H53" s="36">
        <v>175035.03</v>
      </c>
    </row>
    <row r="54" spans="1:8" x14ac:dyDescent="0.4">
      <c r="A54" s="35" t="s">
        <v>67</v>
      </c>
      <c r="B54" s="34">
        <f>35414.8*0.8182</f>
        <v>28976.389360000005</v>
      </c>
      <c r="C54" s="34">
        <v>51154.71</v>
      </c>
      <c r="D54" s="34">
        <v>55089.69</v>
      </c>
      <c r="E54" s="34">
        <v>68028.33</v>
      </c>
      <c r="F54" s="34">
        <v>78699.55</v>
      </c>
      <c r="G54" s="34">
        <v>104506.08</v>
      </c>
      <c r="H54" s="36">
        <v>104506.08</v>
      </c>
    </row>
    <row r="55" spans="1:8" x14ac:dyDescent="0.4">
      <c r="A55" s="35" t="s">
        <v>137</v>
      </c>
      <c r="B55" s="34">
        <f>37534.54*0.8182</f>
        <v>30710.760628000004</v>
      </c>
      <c r="C55" s="34">
        <v>54216.56</v>
      </c>
      <c r="D55" s="34">
        <v>58387.07</v>
      </c>
      <c r="E55" s="34">
        <v>68813.649999999994</v>
      </c>
      <c r="F55" s="34">
        <v>83410.100000000006</v>
      </c>
      <c r="G55" s="34">
        <v>108059.05</v>
      </c>
      <c r="H55" s="36">
        <v>108059.05</v>
      </c>
    </row>
    <row r="56" spans="1:8" x14ac:dyDescent="0.4">
      <c r="A56" s="35" t="s">
        <v>68</v>
      </c>
      <c r="B56" s="34">
        <f>39769.21*0.8182</f>
        <v>32539.167622000001</v>
      </c>
      <c r="C56" s="34">
        <v>57444.41</v>
      </c>
      <c r="D56" s="34">
        <v>61863.21</v>
      </c>
      <c r="E56" s="34">
        <v>68067.06</v>
      </c>
      <c r="F56" s="34">
        <v>88376.02</v>
      </c>
      <c r="G56" s="34">
        <v>112067.57</v>
      </c>
      <c r="H56" s="36">
        <v>112067.57</v>
      </c>
    </row>
    <row r="57" spans="1:8" x14ac:dyDescent="0.4">
      <c r="A57" s="35" t="s">
        <v>69</v>
      </c>
      <c r="B57" s="34">
        <f>39670.79*0.8182</f>
        <v>32458.640378000004</v>
      </c>
      <c r="C57" s="34">
        <v>57302.26</v>
      </c>
      <c r="D57" s="34">
        <v>61710.12</v>
      </c>
      <c r="E57" s="34">
        <v>77703.08</v>
      </c>
      <c r="F57" s="34">
        <v>88157.32</v>
      </c>
      <c r="G57" s="34">
        <v>118813.57</v>
      </c>
      <c r="H57" s="36">
        <v>118813.57</v>
      </c>
    </row>
    <row r="58" spans="1:8" x14ac:dyDescent="0.4">
      <c r="A58" s="35" t="s">
        <v>70</v>
      </c>
      <c r="B58" s="34">
        <f>44149.84*0.8182</f>
        <v>36123.399087999998</v>
      </c>
      <c r="C58" s="34">
        <v>63771.99</v>
      </c>
      <c r="D58" s="34">
        <v>68677.53</v>
      </c>
      <c r="E58" s="34">
        <v>84823.4</v>
      </c>
      <c r="F58" s="34">
        <v>98110.75</v>
      </c>
      <c r="G58" s="34">
        <v>140906.71</v>
      </c>
      <c r="H58" s="36">
        <v>140906.71</v>
      </c>
    </row>
    <row r="59" spans="1:8" x14ac:dyDescent="0.4">
      <c r="A59" s="35" t="s">
        <v>138</v>
      </c>
      <c r="B59" s="34">
        <f>40038.07*0.8182</f>
        <v>32759.148874000002</v>
      </c>
      <c r="C59" s="34">
        <v>57832.77</v>
      </c>
      <c r="D59" s="34">
        <v>62281.440000000002</v>
      </c>
      <c r="E59" s="34">
        <v>77999.929999999993</v>
      </c>
      <c r="F59" s="34">
        <v>88973.49</v>
      </c>
      <c r="G59" s="34">
        <v>116047.98</v>
      </c>
      <c r="H59" s="36">
        <v>116047.98</v>
      </c>
    </row>
    <row r="60" spans="1:8" x14ac:dyDescent="0.4">
      <c r="A60" s="35" t="s">
        <v>71</v>
      </c>
      <c r="B60" s="34">
        <f>44513.88*0.8182</f>
        <v>36421.256615999999</v>
      </c>
      <c r="C60" s="34">
        <v>64297.82</v>
      </c>
      <c r="D60" s="34">
        <v>69243.81</v>
      </c>
      <c r="E60" s="34">
        <v>85118.88</v>
      </c>
      <c r="F60" s="34">
        <v>98919.73</v>
      </c>
      <c r="G60" s="34">
        <v>144979.34</v>
      </c>
      <c r="H60" s="36">
        <v>144979.34</v>
      </c>
    </row>
    <row r="61" spans="1:8" x14ac:dyDescent="0.4">
      <c r="A61" s="35" t="s">
        <v>72</v>
      </c>
      <c r="B61" s="34">
        <f>38787.85*0.8182</f>
        <v>31736.218870000001</v>
      </c>
      <c r="C61" s="34">
        <v>56026.89</v>
      </c>
      <c r="D61" s="34">
        <v>60336.66</v>
      </c>
      <c r="E61" s="34">
        <v>80412.45</v>
      </c>
      <c r="F61" s="34">
        <v>86195.22</v>
      </c>
      <c r="G61" s="34">
        <v>113755.78</v>
      </c>
      <c r="H61" s="36">
        <v>113755.78</v>
      </c>
    </row>
    <row r="62" spans="1:8" x14ac:dyDescent="0.4">
      <c r="A62" s="35" t="s">
        <v>73</v>
      </c>
      <c r="B62" s="34">
        <f>43837.63*0.8182</f>
        <v>35867.948865999999</v>
      </c>
      <c r="C62" s="34">
        <v>63321.02</v>
      </c>
      <c r="D62" s="34">
        <v>68191.87</v>
      </c>
      <c r="E62" s="34">
        <v>81986.17</v>
      </c>
      <c r="F62" s="34">
        <v>97416.960000000006</v>
      </c>
      <c r="G62" s="34">
        <v>151729.79</v>
      </c>
      <c r="H62" s="36">
        <v>151729.79</v>
      </c>
    </row>
    <row r="63" spans="1:8" x14ac:dyDescent="0.4">
      <c r="A63" s="35" t="s">
        <v>74</v>
      </c>
      <c r="B63" s="34">
        <f>47824.45*0.8182</f>
        <v>39129.96499</v>
      </c>
      <c r="C63" s="34">
        <v>69079.77</v>
      </c>
      <c r="D63" s="34">
        <v>74393.600000000006</v>
      </c>
      <c r="E63" s="34">
        <v>94101.2</v>
      </c>
      <c r="F63" s="34">
        <v>106276.57</v>
      </c>
      <c r="G63" s="34">
        <v>146839.29</v>
      </c>
      <c r="H63" s="36">
        <v>146839.29</v>
      </c>
    </row>
    <row r="64" spans="1:8" x14ac:dyDescent="0.4">
      <c r="A64" s="35" t="s">
        <v>75</v>
      </c>
      <c r="B64" s="34">
        <f>50490.11*0.8182</f>
        <v>41311.008002000002</v>
      </c>
      <c r="C64" s="34">
        <v>72930.149999999994</v>
      </c>
      <c r="D64" s="34">
        <v>78540.160000000003</v>
      </c>
      <c r="E64" s="34">
        <v>99324.32</v>
      </c>
      <c r="F64" s="34">
        <v>112200.23</v>
      </c>
      <c r="G64" s="34">
        <v>149352.92000000001</v>
      </c>
      <c r="H64" s="36">
        <v>149352.92000000001</v>
      </c>
    </row>
    <row r="65" spans="1:8" x14ac:dyDescent="0.4">
      <c r="A65" s="35" t="s">
        <v>76</v>
      </c>
      <c r="B65" s="34">
        <f>43982.01*0.8182</f>
        <v>35986.080582000002</v>
      </c>
      <c r="C65" s="34">
        <v>63529.57</v>
      </c>
      <c r="D65" s="34">
        <v>68416.460000000006</v>
      </c>
      <c r="E65" s="34">
        <v>83331.94</v>
      </c>
      <c r="F65" s="34">
        <v>97737.8</v>
      </c>
      <c r="G65" s="34">
        <v>136092.99</v>
      </c>
      <c r="H65" s="36">
        <v>136092.99</v>
      </c>
    </row>
    <row r="66" spans="1:8" x14ac:dyDescent="0.4">
      <c r="A66" s="35" t="s">
        <v>77</v>
      </c>
      <c r="B66" s="34">
        <f>45521.46*0.8182</f>
        <v>37245.658572</v>
      </c>
      <c r="C66" s="34">
        <v>65753.22</v>
      </c>
      <c r="D66" s="34">
        <v>70811.16</v>
      </c>
      <c r="E66" s="34">
        <v>87768.26</v>
      </c>
      <c r="F66" s="34">
        <v>101158.79</v>
      </c>
      <c r="G66" s="34">
        <v>154857.01999999999</v>
      </c>
      <c r="H66" s="36">
        <v>154857.01999999999</v>
      </c>
    </row>
    <row r="67" spans="1:8" x14ac:dyDescent="0.4">
      <c r="A67" s="35" t="s">
        <v>78</v>
      </c>
      <c r="B67" s="34">
        <f>39444.97*0.8182</f>
        <v>32273.874454000001</v>
      </c>
      <c r="C67" s="34">
        <v>56976.06</v>
      </c>
      <c r="D67" s="34">
        <v>61358.84</v>
      </c>
      <c r="E67" s="34">
        <v>78050.320000000007</v>
      </c>
      <c r="F67" s="34">
        <v>87655.48</v>
      </c>
      <c r="G67" s="34">
        <v>113338.96</v>
      </c>
      <c r="H67" s="36">
        <v>113338.96</v>
      </c>
    </row>
    <row r="68" spans="1:8" x14ac:dyDescent="0.4">
      <c r="A68" s="35" t="s">
        <v>79</v>
      </c>
      <c r="B68" s="34">
        <f>39364.91*0.8182</f>
        <v>32208.369362000005</v>
      </c>
      <c r="C68" s="34">
        <v>56860.43</v>
      </c>
      <c r="D68" s="34">
        <v>61234.31</v>
      </c>
      <c r="E68" s="34">
        <v>86405.35</v>
      </c>
      <c r="F68" s="34">
        <v>87477.58</v>
      </c>
      <c r="G68" s="34">
        <v>124087.99</v>
      </c>
      <c r="H68" s="36">
        <v>124087.99</v>
      </c>
    </row>
    <row r="69" spans="1:8" x14ac:dyDescent="0.4">
      <c r="A69" s="35" t="s">
        <v>80</v>
      </c>
      <c r="B69" s="34">
        <f>43890.23*0.8182</f>
        <v>35910.986186000002</v>
      </c>
      <c r="C69" s="34">
        <v>63397</v>
      </c>
      <c r="D69" s="34">
        <v>68273.69</v>
      </c>
      <c r="E69" s="34">
        <v>85431.16</v>
      </c>
      <c r="F69" s="34">
        <v>97533.85</v>
      </c>
      <c r="G69" s="34">
        <v>127454.82</v>
      </c>
      <c r="H69" s="36">
        <v>127454.82</v>
      </c>
    </row>
    <row r="70" spans="1:8" x14ac:dyDescent="0.4">
      <c r="A70" s="35" t="s">
        <v>81</v>
      </c>
      <c r="B70" s="34">
        <f>40689.79*0.8182</f>
        <v>33292.386178000001</v>
      </c>
      <c r="C70" s="34">
        <v>58774.14</v>
      </c>
      <c r="D70" s="34">
        <v>63295.23</v>
      </c>
      <c r="E70" s="34">
        <v>71785.59</v>
      </c>
      <c r="F70" s="34">
        <v>90421.75</v>
      </c>
      <c r="G70" s="34">
        <v>158520.35</v>
      </c>
      <c r="H70" s="36">
        <v>158520.35</v>
      </c>
    </row>
    <row r="71" spans="1:8" x14ac:dyDescent="0.4">
      <c r="A71" s="35" t="s">
        <v>82</v>
      </c>
      <c r="B71" s="34">
        <f>40305.55*0.8182</f>
        <v>32978.001010000007</v>
      </c>
      <c r="C71" s="34">
        <v>58219.12</v>
      </c>
      <c r="D71" s="34">
        <v>62697.51</v>
      </c>
      <c r="E71" s="34">
        <v>72258.289999999994</v>
      </c>
      <c r="F71" s="34">
        <v>89567.88</v>
      </c>
      <c r="G71" s="34">
        <v>126933.07</v>
      </c>
      <c r="H71" s="36">
        <v>126933.07</v>
      </c>
    </row>
    <row r="72" spans="1:8" x14ac:dyDescent="0.4">
      <c r="A72" s="35" t="s">
        <v>83</v>
      </c>
      <c r="B72" s="34">
        <f>39027.87*0.8182</f>
        <v>31932.603234000002</v>
      </c>
      <c r="C72" s="34">
        <v>56373.59</v>
      </c>
      <c r="D72" s="34">
        <v>60710.02</v>
      </c>
      <c r="E72" s="34">
        <v>73617.429999999993</v>
      </c>
      <c r="F72" s="34">
        <v>86728.59</v>
      </c>
      <c r="G72" s="34">
        <v>114047.15</v>
      </c>
      <c r="H72" s="36">
        <v>114047.15</v>
      </c>
    </row>
    <row r="73" spans="1:8" x14ac:dyDescent="0.4">
      <c r="A73" s="35" t="s">
        <v>139</v>
      </c>
      <c r="B73" s="34">
        <f>36518.63*0.8182</f>
        <v>29879.543065999998</v>
      </c>
      <c r="C73" s="34">
        <v>52749.14</v>
      </c>
      <c r="D73" s="34">
        <v>56806.76</v>
      </c>
      <c r="E73" s="34">
        <v>68068.429999999993</v>
      </c>
      <c r="F73" s="34">
        <v>81152.52</v>
      </c>
      <c r="G73" s="34">
        <v>111144.79</v>
      </c>
      <c r="H73" s="36">
        <v>111144.79</v>
      </c>
    </row>
    <row r="74" spans="1:8" x14ac:dyDescent="0.4">
      <c r="A74" s="35" t="s">
        <v>84</v>
      </c>
      <c r="B74" s="34">
        <f>40175.66*0.8182</f>
        <v>32871.725012000003</v>
      </c>
      <c r="C74" s="34">
        <v>58031.519999999997</v>
      </c>
      <c r="D74" s="34">
        <v>62495.48</v>
      </c>
      <c r="E74" s="34">
        <v>77369.55</v>
      </c>
      <c r="F74" s="34">
        <v>89279.25</v>
      </c>
      <c r="G74" s="34">
        <v>122290.43</v>
      </c>
      <c r="H74" s="36">
        <v>122290.43</v>
      </c>
    </row>
    <row r="75" spans="1:8" x14ac:dyDescent="0.4">
      <c r="A75" s="35" t="s">
        <v>85</v>
      </c>
      <c r="B75" s="34">
        <f>40820.9*0.8182</f>
        <v>33399.660380000001</v>
      </c>
      <c r="C75" s="34">
        <v>58963.53</v>
      </c>
      <c r="D75" s="34">
        <v>63499.19</v>
      </c>
      <c r="E75" s="34">
        <v>78753.37</v>
      </c>
      <c r="F75" s="34">
        <v>90713.12</v>
      </c>
      <c r="G75" s="34">
        <v>118698.39</v>
      </c>
      <c r="H75" s="36">
        <v>118698.39</v>
      </c>
    </row>
    <row r="76" spans="1:8" x14ac:dyDescent="0.4">
      <c r="A76" s="35" t="s">
        <v>86</v>
      </c>
      <c r="B76" s="34">
        <f>40599.55*0.8182</f>
        <v>33218.551810000004</v>
      </c>
      <c r="C76" s="34">
        <v>58643.8</v>
      </c>
      <c r="D76" s="34">
        <v>63154.86</v>
      </c>
      <c r="E76" s="34">
        <v>80672.62</v>
      </c>
      <c r="F76" s="34">
        <v>90221.23</v>
      </c>
      <c r="G76" s="34">
        <v>120182.31</v>
      </c>
      <c r="H76" s="36">
        <v>120182.31</v>
      </c>
    </row>
    <row r="77" spans="1:8" x14ac:dyDescent="0.4">
      <c r="A77" s="35" t="s">
        <v>87</v>
      </c>
      <c r="B77" s="34">
        <f>39329.59*0.8182</f>
        <v>32179.470537999998</v>
      </c>
      <c r="C77" s="34">
        <v>56809.4</v>
      </c>
      <c r="D77" s="34">
        <v>61179.360000000001</v>
      </c>
      <c r="E77" s="34">
        <v>76316.509999999995</v>
      </c>
      <c r="F77" s="34">
        <v>87399.08</v>
      </c>
      <c r="G77" s="34">
        <v>119244.1</v>
      </c>
      <c r="H77" s="36">
        <v>119244.1</v>
      </c>
    </row>
    <row r="78" spans="1:8" x14ac:dyDescent="0.4">
      <c r="A78" s="35" t="s">
        <v>140</v>
      </c>
      <c r="B78" s="34">
        <f>39641.49*0.8182</f>
        <v>32434.667118000001</v>
      </c>
      <c r="C78" s="34">
        <v>57259.92</v>
      </c>
      <c r="D78" s="34">
        <v>61664.53</v>
      </c>
      <c r="E78" s="34">
        <v>76168.77</v>
      </c>
      <c r="F78" s="34">
        <v>88092.19</v>
      </c>
      <c r="G78" s="34">
        <v>120144.94</v>
      </c>
      <c r="H78" s="36">
        <v>120144.94</v>
      </c>
    </row>
    <row r="79" spans="1:8" x14ac:dyDescent="0.4">
      <c r="A79" s="35" t="s">
        <v>88</v>
      </c>
      <c r="B79" s="34">
        <f>42501.34*0.8182</f>
        <v>34774.596387999998</v>
      </c>
      <c r="C79" s="34">
        <v>61390.82</v>
      </c>
      <c r="D79" s="34">
        <v>66113.19</v>
      </c>
      <c r="E79" s="34">
        <v>78468.52</v>
      </c>
      <c r="F79" s="34">
        <v>94447.42</v>
      </c>
      <c r="G79" s="34">
        <v>124119.87</v>
      </c>
      <c r="H79" s="36">
        <v>124119.87</v>
      </c>
    </row>
    <row r="80" spans="1:8" x14ac:dyDescent="0.4">
      <c r="A80" s="35" t="s">
        <v>89</v>
      </c>
      <c r="B80" s="34">
        <f>37685.87*0.8182</f>
        <v>30834.578834000004</v>
      </c>
      <c r="C80" s="34">
        <v>54435.14</v>
      </c>
      <c r="D80" s="34">
        <v>58622.46</v>
      </c>
      <c r="E80" s="34">
        <v>71114.759999999995</v>
      </c>
      <c r="F80" s="34">
        <v>83746.37</v>
      </c>
      <c r="G80" s="34">
        <v>111719.3</v>
      </c>
      <c r="H80" s="36">
        <v>111719.3</v>
      </c>
    </row>
    <row r="81" spans="1:8" x14ac:dyDescent="0.4">
      <c r="A81" s="35" t="s">
        <v>141</v>
      </c>
      <c r="B81" s="34">
        <f>37919.41*0.8182</f>
        <v>31025.661262000005</v>
      </c>
      <c r="C81" s="34">
        <v>54772.47</v>
      </c>
      <c r="D81" s="34">
        <v>58985.74</v>
      </c>
      <c r="E81" s="34">
        <v>70197.13</v>
      </c>
      <c r="F81" s="34">
        <v>84265.34</v>
      </c>
      <c r="G81" s="34">
        <v>118172.22</v>
      </c>
      <c r="H81" s="36">
        <v>118172.22</v>
      </c>
    </row>
    <row r="82" spans="1:8" x14ac:dyDescent="0.4">
      <c r="A82" s="35" t="s">
        <v>90</v>
      </c>
      <c r="B82" s="34">
        <f>52613.55*0.8182</f>
        <v>43048.406610000005</v>
      </c>
      <c r="C82" s="34">
        <v>75997.350000000006</v>
      </c>
      <c r="D82" s="34">
        <v>81843.3</v>
      </c>
      <c r="E82" s="34">
        <v>105942.69</v>
      </c>
      <c r="F82" s="34">
        <v>116919</v>
      </c>
      <c r="G82" s="34">
        <v>150656.88</v>
      </c>
      <c r="H82" s="36">
        <v>150656.88</v>
      </c>
    </row>
    <row r="83" spans="1:8" x14ac:dyDescent="0.4">
      <c r="A83" s="35" t="s">
        <v>91</v>
      </c>
      <c r="B83" s="34">
        <f>37949.79*0.8182</f>
        <v>31050.518178000002</v>
      </c>
      <c r="C83" s="34">
        <v>54816.37</v>
      </c>
      <c r="D83" s="34">
        <v>59033.01</v>
      </c>
      <c r="E83" s="34">
        <v>73533.100000000006</v>
      </c>
      <c r="F83" s="34">
        <v>84332.87</v>
      </c>
      <c r="G83" s="34">
        <v>110825.32</v>
      </c>
      <c r="H83" s="36">
        <v>110825.32</v>
      </c>
    </row>
    <row r="84" spans="1:8" x14ac:dyDescent="0.4">
      <c r="A84" s="35" t="s">
        <v>92</v>
      </c>
      <c r="B84" s="34">
        <f>40994.44*0.8182</f>
        <v>33541.650808000006</v>
      </c>
      <c r="C84" s="34">
        <v>59214.19</v>
      </c>
      <c r="D84" s="34">
        <v>63769.13</v>
      </c>
      <c r="E84" s="34">
        <v>75378.66</v>
      </c>
      <c r="F84" s="34">
        <v>91098.75</v>
      </c>
      <c r="G84" s="34">
        <v>132455.71</v>
      </c>
      <c r="H84" s="36">
        <v>132455.71</v>
      </c>
    </row>
    <row r="85" spans="1:8" x14ac:dyDescent="0.4">
      <c r="A85" s="35" t="s">
        <v>93</v>
      </c>
      <c r="B85" s="34">
        <f>38472.56*0.8182</f>
        <v>31478.248592</v>
      </c>
      <c r="C85" s="34">
        <v>55571.47</v>
      </c>
      <c r="D85" s="34">
        <v>59846.2</v>
      </c>
      <c r="E85" s="34">
        <v>71776.33</v>
      </c>
      <c r="F85" s="34">
        <v>85494.57</v>
      </c>
      <c r="G85" s="34">
        <v>115632.53</v>
      </c>
      <c r="H85" s="36">
        <v>115632.53</v>
      </c>
    </row>
    <row r="86" spans="1:8" x14ac:dyDescent="0.4">
      <c r="A86" s="35" t="s">
        <v>94</v>
      </c>
      <c r="B86" s="34">
        <f>38171.61*0.8182</f>
        <v>31232.011302000003</v>
      </c>
      <c r="C86" s="34">
        <v>55136.77</v>
      </c>
      <c r="D86" s="34">
        <v>59378.06</v>
      </c>
      <c r="E86" s="34">
        <v>72211.67</v>
      </c>
      <c r="F86" s="34">
        <v>84825.8</v>
      </c>
      <c r="G86" s="34">
        <v>114221.97</v>
      </c>
      <c r="H86" s="36">
        <v>114221.97</v>
      </c>
    </row>
    <row r="87" spans="1:8" x14ac:dyDescent="0.4">
      <c r="A87" s="35" t="s">
        <v>95</v>
      </c>
      <c r="B87" s="34">
        <f>35334.28*0.8182</f>
        <v>28910.507895999999</v>
      </c>
      <c r="C87" s="34">
        <v>51038.400000000001</v>
      </c>
      <c r="D87" s="34">
        <v>54964.43</v>
      </c>
      <c r="E87" s="34">
        <v>63325.67</v>
      </c>
      <c r="F87" s="34">
        <v>78520.62</v>
      </c>
      <c r="G87" s="34">
        <v>100806.75</v>
      </c>
      <c r="H87" s="36">
        <v>100806.75</v>
      </c>
    </row>
    <row r="88" spans="1:8" x14ac:dyDescent="0.4">
      <c r="A88" s="35" t="s">
        <v>96</v>
      </c>
      <c r="B88" s="34">
        <f>37821.61*0.8182</f>
        <v>30945.641302000004</v>
      </c>
      <c r="C88" s="34">
        <v>54631.21</v>
      </c>
      <c r="D88" s="34">
        <v>58833.61</v>
      </c>
      <c r="E88" s="34">
        <v>71499.02</v>
      </c>
      <c r="F88" s="34">
        <v>84048.02</v>
      </c>
      <c r="G88" s="34">
        <v>106012.28</v>
      </c>
      <c r="H88" s="36">
        <v>106012.28</v>
      </c>
    </row>
    <row r="89" spans="1:8" x14ac:dyDescent="0.4">
      <c r="A89" s="35" t="s">
        <v>97</v>
      </c>
      <c r="B89" s="34">
        <f>34459.82*0.8182</f>
        <v>28195.024724000003</v>
      </c>
      <c r="C89" s="34">
        <v>49775.29</v>
      </c>
      <c r="D89" s="34">
        <v>53604.160000000003</v>
      </c>
      <c r="E89" s="34">
        <v>65526.34</v>
      </c>
      <c r="F89" s="34">
        <v>76577.37</v>
      </c>
      <c r="G89" s="34">
        <v>100445.46</v>
      </c>
      <c r="H89" s="36">
        <v>100445.46</v>
      </c>
    </row>
    <row r="90" spans="1:8" x14ac:dyDescent="0.4">
      <c r="A90" s="35" t="s">
        <v>98</v>
      </c>
      <c r="B90" s="34">
        <f>37378.59*0.8182</f>
        <v>30583.162337999998</v>
      </c>
      <c r="C90" s="34">
        <v>53991.3</v>
      </c>
      <c r="D90" s="34">
        <v>58144.480000000003</v>
      </c>
      <c r="E90" s="34">
        <v>69279.149999999994</v>
      </c>
      <c r="F90" s="34">
        <v>83063.539999999994</v>
      </c>
      <c r="G90" s="34">
        <v>107875.66</v>
      </c>
      <c r="H90" s="36">
        <v>107875.66</v>
      </c>
    </row>
    <row r="91" spans="1:8" x14ac:dyDescent="0.4">
      <c r="A91" s="35" t="s">
        <v>99</v>
      </c>
      <c r="B91" s="34">
        <f>34810.74*0.8182</f>
        <v>28482.147467999999</v>
      </c>
      <c r="C91" s="34">
        <v>50282.19</v>
      </c>
      <c r="D91" s="34">
        <v>54150.05</v>
      </c>
      <c r="E91" s="34">
        <v>65968.88</v>
      </c>
      <c r="F91" s="34">
        <v>77357.210000000006</v>
      </c>
      <c r="G91" s="34">
        <v>99589.18</v>
      </c>
      <c r="H91" s="36">
        <v>99589.18</v>
      </c>
    </row>
    <row r="92" spans="1:8" x14ac:dyDescent="0.4">
      <c r="A92" s="35" t="s">
        <v>100</v>
      </c>
      <c r="B92" s="34">
        <f>34752.13*0.8182</f>
        <v>28434.192766</v>
      </c>
      <c r="C92" s="34">
        <v>50197.52</v>
      </c>
      <c r="D92" s="34">
        <v>54058.87</v>
      </c>
      <c r="E92" s="34">
        <v>64393.78</v>
      </c>
      <c r="F92" s="34">
        <v>77226.95</v>
      </c>
      <c r="G92" s="34">
        <v>100092.39</v>
      </c>
      <c r="H92" s="36">
        <v>100092.39</v>
      </c>
    </row>
    <row r="93" spans="1:8" x14ac:dyDescent="0.4">
      <c r="A93" s="35" t="s">
        <v>142</v>
      </c>
      <c r="B93" s="34">
        <f>44858.25*0.8182</f>
        <v>36703.020150000004</v>
      </c>
      <c r="C93" s="34">
        <v>64795.26</v>
      </c>
      <c r="D93" s="34">
        <v>69779.509999999995</v>
      </c>
      <c r="E93" s="34">
        <v>80875.850000000006</v>
      </c>
      <c r="F93" s="34">
        <v>99685.01</v>
      </c>
      <c r="G93" s="34">
        <v>157526.62</v>
      </c>
      <c r="H93" s="36">
        <v>157526.62</v>
      </c>
    </row>
    <row r="94" spans="1:8" x14ac:dyDescent="0.4">
      <c r="A94" s="35" t="s">
        <v>101</v>
      </c>
      <c r="B94" s="34">
        <f>41419.25*0.8182</f>
        <v>33889.230349999998</v>
      </c>
      <c r="C94" s="34">
        <v>59827.81</v>
      </c>
      <c r="D94" s="34">
        <v>64429.95</v>
      </c>
      <c r="E94" s="34">
        <v>77684.91</v>
      </c>
      <c r="F94" s="34">
        <v>92042.78</v>
      </c>
      <c r="G94" s="34">
        <v>126926.25</v>
      </c>
      <c r="H94" s="36">
        <v>126926.25</v>
      </c>
    </row>
    <row r="95" spans="1:8" x14ac:dyDescent="0.4">
      <c r="A95" s="35" t="s">
        <v>102</v>
      </c>
      <c r="B95" s="34">
        <f>39563.13*0.8182</f>
        <v>32370.552965999999</v>
      </c>
      <c r="C95" s="34">
        <v>57146.74</v>
      </c>
      <c r="D95" s="34">
        <v>61542.64</v>
      </c>
      <c r="E95" s="34">
        <v>77817.570000000007</v>
      </c>
      <c r="F95" s="34">
        <v>87918.06</v>
      </c>
      <c r="G95" s="34">
        <v>117162.37</v>
      </c>
      <c r="H95" s="36">
        <v>117162.37</v>
      </c>
    </row>
    <row r="96" spans="1:8" x14ac:dyDescent="0.4">
      <c r="A96" s="35" t="s">
        <v>103</v>
      </c>
      <c r="B96" s="34">
        <f>41010.79*0.8182</f>
        <v>33555.028378000003</v>
      </c>
      <c r="C96" s="34">
        <v>59237.81</v>
      </c>
      <c r="D96" s="34">
        <v>63794.559999999998</v>
      </c>
      <c r="E96" s="34">
        <v>71066.080000000002</v>
      </c>
      <c r="F96" s="34">
        <v>91135.09</v>
      </c>
      <c r="G96" s="34">
        <v>102624.2</v>
      </c>
      <c r="H96" s="36">
        <v>102624.2</v>
      </c>
    </row>
    <row r="97" spans="1:8" x14ac:dyDescent="0.4">
      <c r="A97" s="35" t="s">
        <v>104</v>
      </c>
      <c r="B97" s="34">
        <f>56499.95*0.8182</f>
        <v>46228.25909</v>
      </c>
      <c r="C97" s="34">
        <v>81611.039999999994</v>
      </c>
      <c r="D97" s="34">
        <v>87888.82</v>
      </c>
      <c r="E97" s="34">
        <v>105306.14</v>
      </c>
      <c r="F97" s="34">
        <v>125555.45</v>
      </c>
      <c r="G97" s="34">
        <v>198367.34</v>
      </c>
      <c r="H97" s="36">
        <v>198367.34</v>
      </c>
    </row>
    <row r="98" spans="1:8" x14ac:dyDescent="0.4">
      <c r="A98" s="35" t="s">
        <v>105</v>
      </c>
      <c r="B98" s="34">
        <f>41815.68*0.8182</f>
        <v>34213.589376000004</v>
      </c>
      <c r="C98" s="34">
        <v>60400.43</v>
      </c>
      <c r="D98" s="34">
        <v>65046.62</v>
      </c>
      <c r="E98" s="34">
        <v>77864.19</v>
      </c>
      <c r="F98" s="34">
        <v>92923.74</v>
      </c>
      <c r="G98" s="34">
        <v>117943.58</v>
      </c>
      <c r="H98" s="36">
        <v>117943.58</v>
      </c>
    </row>
    <row r="99" spans="1:8" x14ac:dyDescent="0.4">
      <c r="A99" s="35" t="s">
        <v>106</v>
      </c>
      <c r="B99" s="34">
        <f>62718.05*0.8182</f>
        <v>51315.908510000008</v>
      </c>
      <c r="C99" s="34">
        <v>90592.74</v>
      </c>
      <c r="D99" s="34">
        <v>97561.41</v>
      </c>
      <c r="E99" s="34">
        <v>131245.68</v>
      </c>
      <c r="F99" s="34">
        <v>139373.44</v>
      </c>
      <c r="G99" s="34">
        <v>166079.78</v>
      </c>
      <c r="H99" s="36">
        <v>166079.78</v>
      </c>
    </row>
    <row r="100" spans="1:8" x14ac:dyDescent="0.4">
      <c r="A100" s="35" t="s">
        <v>107</v>
      </c>
      <c r="B100" s="34">
        <f>72059.15*0.8182</f>
        <v>58958.79653</v>
      </c>
      <c r="C100" s="34">
        <v>104085.44</v>
      </c>
      <c r="D100" s="34">
        <v>112092.01</v>
      </c>
      <c r="E100" s="34">
        <v>159774.95000000001</v>
      </c>
      <c r="F100" s="34">
        <v>160131.44</v>
      </c>
      <c r="G100" s="34">
        <v>183214.21</v>
      </c>
      <c r="H100" s="36">
        <v>183214.21</v>
      </c>
    </row>
    <row r="101" spans="1:8" x14ac:dyDescent="0.4">
      <c r="A101" s="35" t="s">
        <v>108</v>
      </c>
      <c r="B101" s="34">
        <f>51935.61*0.8182</f>
        <v>42493.716102000006</v>
      </c>
      <c r="C101" s="34">
        <v>75018.100000000006</v>
      </c>
      <c r="D101" s="34">
        <v>80788.72</v>
      </c>
      <c r="E101" s="34">
        <v>108500.21</v>
      </c>
      <c r="F101" s="34">
        <v>115412.46</v>
      </c>
      <c r="G101" s="34">
        <v>144465.16</v>
      </c>
      <c r="H101" s="36">
        <v>144465.16</v>
      </c>
    </row>
    <row r="102" spans="1:8" x14ac:dyDescent="0.4">
      <c r="A102" s="35" t="s">
        <v>109</v>
      </c>
      <c r="B102" s="34">
        <f>74685.15*0.8182</f>
        <v>61107.389729999995</v>
      </c>
      <c r="C102" s="34">
        <v>107878.55</v>
      </c>
      <c r="D102" s="34">
        <v>116176.9</v>
      </c>
      <c r="E102" s="34">
        <v>163682.35</v>
      </c>
      <c r="F102" s="34">
        <v>165967</v>
      </c>
      <c r="G102" s="34">
        <v>186373.65</v>
      </c>
      <c r="H102" s="36">
        <v>186373.65</v>
      </c>
    </row>
    <row r="103" spans="1:8" x14ac:dyDescent="0.4">
      <c r="A103" s="35" t="s">
        <v>110</v>
      </c>
      <c r="B103" s="34">
        <f>57788.28*0.8182</f>
        <v>47282.370695999998</v>
      </c>
      <c r="C103" s="34">
        <v>83471.95</v>
      </c>
      <c r="D103" s="34">
        <v>89892.87</v>
      </c>
      <c r="E103" s="34">
        <v>115033.68</v>
      </c>
      <c r="F103" s="34">
        <v>128418.39</v>
      </c>
      <c r="G103" s="34">
        <v>156283</v>
      </c>
      <c r="H103" s="36">
        <v>156283</v>
      </c>
    </row>
    <row r="104" spans="1:8" x14ac:dyDescent="0.4">
      <c r="A104" s="35" t="s">
        <v>111</v>
      </c>
      <c r="B104" s="34">
        <f>61215.47*0.8182</f>
        <v>50086.497554000001</v>
      </c>
      <c r="C104" s="34">
        <v>88422.34</v>
      </c>
      <c r="D104" s="34">
        <v>95224.06</v>
      </c>
      <c r="E104" s="34">
        <v>132233.24</v>
      </c>
      <c r="F104" s="34">
        <v>136034.38</v>
      </c>
      <c r="G104" s="34">
        <v>160787.19</v>
      </c>
      <c r="H104" s="36">
        <v>160787.19</v>
      </c>
    </row>
    <row r="105" spans="1:8" x14ac:dyDescent="0.4">
      <c r="A105" s="35" t="s">
        <v>112</v>
      </c>
      <c r="B105" s="34">
        <f>64430.26*0.8182</f>
        <v>52716.838732000004</v>
      </c>
      <c r="C105" s="34">
        <v>93065.93</v>
      </c>
      <c r="D105" s="34">
        <v>100224.84</v>
      </c>
      <c r="E105" s="34">
        <v>135446.5</v>
      </c>
      <c r="F105" s="34">
        <v>143178.35</v>
      </c>
      <c r="G105" s="34">
        <v>172479.57</v>
      </c>
      <c r="H105" s="36">
        <v>172479.57</v>
      </c>
    </row>
    <row r="106" spans="1:8" x14ac:dyDescent="0.4">
      <c r="A106" s="35" t="s">
        <v>113</v>
      </c>
      <c r="B106" s="34">
        <f>36535.76*0.8182</f>
        <v>29893.558832000002</v>
      </c>
      <c r="C106" s="34">
        <v>52773.87</v>
      </c>
      <c r="D106" s="34">
        <v>56833.4</v>
      </c>
      <c r="E106" s="34">
        <v>68598.039999999994</v>
      </c>
      <c r="F106" s="34">
        <v>81190.570000000007</v>
      </c>
      <c r="G106" s="34">
        <v>107486.6</v>
      </c>
      <c r="H106" s="36">
        <v>107486.6</v>
      </c>
    </row>
    <row r="107" spans="1:8" x14ac:dyDescent="0.4">
      <c r="A107" s="35" t="s">
        <v>114</v>
      </c>
      <c r="B107" s="34">
        <v>0</v>
      </c>
      <c r="C107" s="34">
        <v>34026.003909674931</v>
      </c>
      <c r="D107" s="34">
        <v>36088.185860932645</v>
      </c>
      <c r="E107" s="34">
        <v>0</v>
      </c>
      <c r="F107" s="34">
        <v>0</v>
      </c>
      <c r="G107" s="34">
        <v>0</v>
      </c>
      <c r="H107" s="36">
        <v>0</v>
      </c>
    </row>
    <row r="108" spans="1:8" x14ac:dyDescent="0.4">
      <c r="A108" s="35" t="s">
        <v>115</v>
      </c>
      <c r="B108" s="34">
        <v>0</v>
      </c>
      <c r="C108" s="34">
        <v>0</v>
      </c>
      <c r="D108" s="34">
        <v>0</v>
      </c>
      <c r="E108" s="34">
        <v>43821.370749032911</v>
      </c>
      <c r="F108" s="34">
        <v>51554.552209288093</v>
      </c>
      <c r="G108" s="34">
        <v>70114.189770607569</v>
      </c>
      <c r="H108" s="36">
        <v>70043.696603580407</v>
      </c>
    </row>
    <row r="109" spans="1:8" x14ac:dyDescent="0.4">
      <c r="A109" s="35" t="s">
        <v>116</v>
      </c>
      <c r="B109" s="34">
        <v>0</v>
      </c>
      <c r="C109" s="34">
        <v>0</v>
      </c>
      <c r="D109" s="34">
        <v>0</v>
      </c>
      <c r="E109" s="34">
        <v>54132.280505321512</v>
      </c>
      <c r="F109" s="34">
        <v>63412.097572058701</v>
      </c>
      <c r="G109" s="34">
        <v>83518.374167705304</v>
      </c>
      <c r="H109" s="36">
        <v>83434.404895104904</v>
      </c>
    </row>
    <row r="110" spans="1:8" x14ac:dyDescent="0.4">
      <c r="A110" s="35" t="s">
        <v>117</v>
      </c>
      <c r="B110" s="34">
        <f>30240.57*0.8182</f>
        <v>24742.834374000002</v>
      </c>
      <c r="C110" s="34">
        <v>43379.67</v>
      </c>
      <c r="D110" s="34">
        <v>46716.57</v>
      </c>
      <c r="E110" s="34">
        <v>54868.56</v>
      </c>
      <c r="F110" s="34">
        <v>66737.95</v>
      </c>
      <c r="G110" s="34">
        <v>90445.48</v>
      </c>
      <c r="H110" s="36">
        <v>90445.48</v>
      </c>
    </row>
    <row r="111" spans="1:8" x14ac:dyDescent="0.4">
      <c r="A111" s="35" t="s">
        <v>119</v>
      </c>
      <c r="B111" s="34">
        <f>28350.53*0.8182</f>
        <v>23196.403645999999</v>
      </c>
      <c r="C111" s="34">
        <v>40668.44</v>
      </c>
      <c r="D111" s="34">
        <v>43796.78</v>
      </c>
      <c r="E111" s="34">
        <v>51439.27</v>
      </c>
      <c r="F111" s="34">
        <v>62566.83</v>
      </c>
      <c r="G111" s="34">
        <v>84792.63</v>
      </c>
      <c r="H111" s="36">
        <v>84792.63</v>
      </c>
    </row>
    <row r="112" spans="1:8" x14ac:dyDescent="0.4">
      <c r="A112" s="35" t="s">
        <v>118</v>
      </c>
      <c r="B112" s="34">
        <f>30240.57*0.8182</f>
        <v>24742.834374000002</v>
      </c>
      <c r="C112" s="34">
        <v>43379.67</v>
      </c>
      <c r="D112" s="34">
        <v>46716.57</v>
      </c>
      <c r="E112" s="34">
        <v>54868.56</v>
      </c>
      <c r="F112" s="34">
        <v>66737.95</v>
      </c>
      <c r="G112" s="34">
        <v>90445.48</v>
      </c>
      <c r="H112" s="36">
        <v>90445.48</v>
      </c>
    </row>
    <row r="113" spans="1:8" x14ac:dyDescent="0.4">
      <c r="A113" s="35" t="s">
        <v>120</v>
      </c>
      <c r="B113" s="34">
        <f>43958.42*0.8182</f>
        <v>35966.779243999998</v>
      </c>
      <c r="C113" s="34">
        <v>63495.49</v>
      </c>
      <c r="D113" s="34">
        <v>68379.759999999995</v>
      </c>
      <c r="E113" s="34">
        <v>85862.89</v>
      </c>
      <c r="F113" s="34">
        <v>97685.37</v>
      </c>
      <c r="G113" s="34">
        <v>140124.70000000001</v>
      </c>
      <c r="H113" s="36">
        <v>140124.70000000001</v>
      </c>
    </row>
    <row r="114" spans="1:8" x14ac:dyDescent="0.4">
      <c r="A114" s="35" t="s">
        <v>121</v>
      </c>
      <c r="B114" s="34">
        <f>39385.35*0.8182</f>
        <v>32225.093369999999</v>
      </c>
      <c r="C114" s="34">
        <v>56889.95</v>
      </c>
      <c r="D114" s="34">
        <v>61266.1</v>
      </c>
      <c r="E114" s="34">
        <v>76143.240000000005</v>
      </c>
      <c r="F114" s="34">
        <v>87523</v>
      </c>
      <c r="G114" s="34">
        <v>114761.85</v>
      </c>
      <c r="H114" s="36">
        <v>114761.85</v>
      </c>
    </row>
    <row r="115" spans="1:8" x14ac:dyDescent="0.4">
      <c r="A115" s="42" t="s">
        <v>122</v>
      </c>
      <c r="B115" s="43">
        <f>40107.43*0.8182</f>
        <v>32815.899226000001</v>
      </c>
      <c r="C115" s="43">
        <v>57932.959999999999</v>
      </c>
      <c r="D115" s="43">
        <v>62389.34</v>
      </c>
      <c r="E115" s="43">
        <v>82884.44</v>
      </c>
      <c r="F115" s="43">
        <v>89127.63</v>
      </c>
      <c r="G115" s="43">
        <v>120007.37</v>
      </c>
      <c r="H115" s="44">
        <v>120007.37</v>
      </c>
    </row>
  </sheetData>
  <sheetProtection algorithmName="SHA-512" hashValue="o/EowubvLoiNG5y76zmubDgloL8HVQZk2yKXGwM/LzQtuSjElbNvdMO8ayh+C7VcIKHw0A0zCxDBsPxrvbOuPw==" saltValue="o5INKLDlk2doEWIJll22wA==" spinCount="100000" sheet="1" objects="1" scenarios="1" selectLockedCells="1"/>
  <mergeCells count="1">
    <mergeCell ref="C1:G1"/>
  </mergeCell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E6976-7F4A-4D8F-B6E9-8BE069D5B1F8}">
  <dimension ref="A1:H48"/>
  <sheetViews>
    <sheetView workbookViewId="0">
      <selection activeCell="A2" sqref="A2"/>
    </sheetView>
  </sheetViews>
  <sheetFormatPr defaultColWidth="9.1796875" defaultRowHeight="15" x14ac:dyDescent="0.4"/>
  <cols>
    <col min="1" max="16384" width="9.1796875" style="3"/>
  </cols>
  <sheetData>
    <row r="1" spans="1:8" x14ac:dyDescent="0.4">
      <c r="A1" s="2" t="s">
        <v>147</v>
      </c>
    </row>
    <row r="2" spans="1:8" ht="37.5" x14ac:dyDescent="0.4">
      <c r="A2" s="4" t="s">
        <v>18</v>
      </c>
      <c r="B2" s="4" t="s">
        <v>19</v>
      </c>
      <c r="C2" s="4" t="s">
        <v>2</v>
      </c>
      <c r="D2" s="4" t="s">
        <v>3</v>
      </c>
      <c r="E2" s="4" t="s">
        <v>10</v>
      </c>
      <c r="F2" s="4" t="s">
        <v>11</v>
      </c>
      <c r="G2" s="4" t="s">
        <v>12</v>
      </c>
      <c r="H2" s="4" t="s">
        <v>13</v>
      </c>
    </row>
    <row r="3" spans="1:8" x14ac:dyDescent="0.4">
      <c r="A3" s="5">
        <v>0</v>
      </c>
      <c r="B3" s="6">
        <v>1</v>
      </c>
      <c r="C3" s="6">
        <v>1</v>
      </c>
      <c r="D3" s="6">
        <v>1</v>
      </c>
      <c r="E3" s="7">
        <v>0.9</v>
      </c>
      <c r="F3" s="7">
        <v>0.95</v>
      </c>
      <c r="G3" s="7">
        <v>0.83</v>
      </c>
      <c r="H3" s="7">
        <v>0.83</v>
      </c>
    </row>
    <row r="4" spans="1:8" x14ac:dyDescent="0.4">
      <c r="A4" s="5">
        <v>1</v>
      </c>
      <c r="B4" s="6">
        <v>1</v>
      </c>
      <c r="C4" s="6">
        <v>1</v>
      </c>
      <c r="D4" s="6">
        <v>1</v>
      </c>
      <c r="E4" s="7">
        <v>0.9</v>
      </c>
      <c r="F4" s="7">
        <v>0.96</v>
      </c>
      <c r="G4" s="7">
        <v>0.84499999999999997</v>
      </c>
      <c r="H4" s="7">
        <v>0.84499999999999997</v>
      </c>
    </row>
    <row r="5" spans="1:8" x14ac:dyDescent="0.4">
      <c r="A5" s="5">
        <v>2</v>
      </c>
      <c r="B5" s="6">
        <v>1</v>
      </c>
      <c r="C5" s="6">
        <v>1</v>
      </c>
      <c r="D5" s="6">
        <v>1</v>
      </c>
      <c r="E5" s="7">
        <v>0.9</v>
      </c>
      <c r="F5" s="7">
        <v>0.97</v>
      </c>
      <c r="G5" s="7">
        <v>0.86</v>
      </c>
      <c r="H5" s="7">
        <v>0.86</v>
      </c>
    </row>
    <row r="6" spans="1:8" x14ac:dyDescent="0.4">
      <c r="A6" s="5">
        <v>3</v>
      </c>
      <c r="B6" s="6">
        <v>1</v>
      </c>
      <c r="C6" s="6">
        <v>1</v>
      </c>
      <c r="D6" s="6">
        <v>1</v>
      </c>
      <c r="E6" s="6">
        <v>1</v>
      </c>
      <c r="F6" s="7">
        <v>0.98</v>
      </c>
      <c r="G6" s="7">
        <v>0.875</v>
      </c>
      <c r="H6" s="7">
        <v>0.875</v>
      </c>
    </row>
    <row r="7" spans="1:8" x14ac:dyDescent="0.4">
      <c r="A7" s="5">
        <v>4</v>
      </c>
      <c r="B7" s="6">
        <v>1</v>
      </c>
      <c r="C7" s="6">
        <v>1</v>
      </c>
      <c r="D7" s="6">
        <v>1</v>
      </c>
      <c r="E7" s="6">
        <v>1</v>
      </c>
      <c r="F7" s="7">
        <v>0.99</v>
      </c>
      <c r="G7" s="7">
        <v>0.89</v>
      </c>
      <c r="H7" s="7">
        <v>0.89</v>
      </c>
    </row>
    <row r="8" spans="1:8" x14ac:dyDescent="0.4">
      <c r="A8" s="5">
        <v>5</v>
      </c>
      <c r="B8" s="6">
        <v>1</v>
      </c>
      <c r="C8" s="6">
        <v>1</v>
      </c>
      <c r="D8" s="6">
        <v>1</v>
      </c>
      <c r="E8" s="6">
        <v>1</v>
      </c>
      <c r="F8" s="6">
        <v>1</v>
      </c>
      <c r="G8" s="7">
        <v>0.90500000000000003</v>
      </c>
      <c r="H8" s="7">
        <v>0.90500000000000003</v>
      </c>
    </row>
    <row r="9" spans="1:8" x14ac:dyDescent="0.4">
      <c r="A9" s="5">
        <v>6</v>
      </c>
      <c r="B9" s="6">
        <v>0</v>
      </c>
      <c r="C9" s="6">
        <v>1</v>
      </c>
      <c r="D9" s="6">
        <v>1</v>
      </c>
      <c r="E9" s="6">
        <v>1</v>
      </c>
      <c r="F9" s="6">
        <v>1</v>
      </c>
      <c r="G9" s="7">
        <v>0.92</v>
      </c>
      <c r="H9" s="7">
        <v>0.92</v>
      </c>
    </row>
    <row r="10" spans="1:8" x14ac:dyDescent="0.4">
      <c r="A10" s="5">
        <v>7</v>
      </c>
      <c r="B10" s="6">
        <v>0</v>
      </c>
      <c r="C10" s="6">
        <v>1</v>
      </c>
      <c r="D10" s="6">
        <v>1</v>
      </c>
      <c r="E10" s="6">
        <v>1</v>
      </c>
      <c r="F10" s="6">
        <v>1</v>
      </c>
      <c r="G10" s="7">
        <v>0.93500000000000005</v>
      </c>
      <c r="H10" s="7">
        <v>0.93500000000000005</v>
      </c>
    </row>
    <row r="11" spans="1:8" x14ac:dyDescent="0.4">
      <c r="A11" s="5">
        <v>8</v>
      </c>
      <c r="B11" s="6">
        <v>0</v>
      </c>
      <c r="C11" s="6">
        <v>1</v>
      </c>
      <c r="D11" s="6">
        <v>1</v>
      </c>
      <c r="E11" s="6">
        <v>1</v>
      </c>
      <c r="F11" s="6">
        <v>1</v>
      </c>
      <c r="G11" s="7">
        <v>0.95</v>
      </c>
      <c r="H11" s="7">
        <v>0.95</v>
      </c>
    </row>
    <row r="12" spans="1:8" x14ac:dyDescent="0.4">
      <c r="A12" s="5">
        <v>9</v>
      </c>
      <c r="B12" s="6">
        <v>0</v>
      </c>
      <c r="C12" s="6">
        <v>1</v>
      </c>
      <c r="D12" s="6">
        <v>1</v>
      </c>
      <c r="E12" s="6">
        <v>1</v>
      </c>
      <c r="F12" s="6">
        <v>1</v>
      </c>
      <c r="G12" s="7">
        <v>0.96499999999999997</v>
      </c>
      <c r="H12" s="7">
        <v>0.96499999999999997</v>
      </c>
    </row>
    <row r="13" spans="1:8" x14ac:dyDescent="0.4">
      <c r="A13" s="5">
        <v>10</v>
      </c>
      <c r="B13" s="6">
        <v>0</v>
      </c>
      <c r="C13" s="6">
        <v>1</v>
      </c>
      <c r="D13" s="6">
        <v>1</v>
      </c>
      <c r="E13" s="6">
        <v>1</v>
      </c>
      <c r="F13" s="6">
        <v>1</v>
      </c>
      <c r="G13" s="7">
        <v>0.98</v>
      </c>
      <c r="H13" s="7">
        <v>0.98</v>
      </c>
    </row>
    <row r="14" spans="1:8" x14ac:dyDescent="0.4">
      <c r="A14" s="5">
        <v>11</v>
      </c>
      <c r="B14" s="6">
        <v>0</v>
      </c>
      <c r="C14" s="6">
        <v>1</v>
      </c>
      <c r="D14" s="6">
        <v>1</v>
      </c>
      <c r="E14" s="6">
        <v>1</v>
      </c>
      <c r="F14" s="6">
        <v>1</v>
      </c>
      <c r="G14" s="6">
        <v>1</v>
      </c>
      <c r="H14" s="6">
        <v>1</v>
      </c>
    </row>
    <row r="15" spans="1:8" x14ac:dyDescent="0.4">
      <c r="A15" s="5">
        <v>12</v>
      </c>
      <c r="B15" s="6">
        <v>0</v>
      </c>
      <c r="C15" s="6">
        <v>1</v>
      </c>
      <c r="D15" s="6">
        <v>1</v>
      </c>
      <c r="E15" s="6">
        <v>1</v>
      </c>
      <c r="F15" s="6">
        <v>1</v>
      </c>
      <c r="G15" s="6">
        <v>1</v>
      </c>
      <c r="H15" s="6">
        <v>1</v>
      </c>
    </row>
    <row r="16" spans="1:8" x14ac:dyDescent="0.4">
      <c r="A16" s="5">
        <v>13</v>
      </c>
      <c r="B16" s="6">
        <v>0</v>
      </c>
      <c r="C16" s="6">
        <v>1</v>
      </c>
      <c r="D16" s="6">
        <v>1</v>
      </c>
      <c r="E16" s="6">
        <v>1</v>
      </c>
      <c r="F16" s="6">
        <v>1</v>
      </c>
      <c r="G16" s="6">
        <v>1</v>
      </c>
      <c r="H16" s="6">
        <v>1</v>
      </c>
    </row>
    <row r="17" spans="1:8" x14ac:dyDescent="0.4">
      <c r="A17" s="5">
        <v>14</v>
      </c>
      <c r="B17" s="6">
        <v>0</v>
      </c>
      <c r="C17" s="6">
        <v>1</v>
      </c>
      <c r="D17" s="6">
        <v>1</v>
      </c>
      <c r="E17" s="6">
        <v>1</v>
      </c>
      <c r="F17" s="6">
        <v>1</v>
      </c>
      <c r="G17" s="6">
        <v>1</v>
      </c>
      <c r="H17" s="6">
        <v>1</v>
      </c>
    </row>
    <row r="18" spans="1:8" x14ac:dyDescent="0.4">
      <c r="A18" s="5">
        <v>15</v>
      </c>
      <c r="B18" s="6">
        <v>0</v>
      </c>
      <c r="C18" s="6">
        <v>1</v>
      </c>
      <c r="D18" s="6">
        <v>1</v>
      </c>
      <c r="E18" s="6">
        <v>1</v>
      </c>
      <c r="F18" s="6">
        <v>1</v>
      </c>
      <c r="G18" s="6">
        <v>1</v>
      </c>
      <c r="H18" s="6">
        <v>1</v>
      </c>
    </row>
    <row r="19" spans="1:8" x14ac:dyDescent="0.4">
      <c r="A19" s="5">
        <v>16</v>
      </c>
      <c r="B19" s="6">
        <v>0</v>
      </c>
      <c r="C19" s="6">
        <v>1</v>
      </c>
      <c r="D19" s="6">
        <v>1</v>
      </c>
      <c r="E19" s="6">
        <v>1</v>
      </c>
      <c r="F19" s="6">
        <v>1</v>
      </c>
      <c r="G19" s="6">
        <v>1</v>
      </c>
      <c r="H19" s="6">
        <v>1</v>
      </c>
    </row>
    <row r="20" spans="1:8" x14ac:dyDescent="0.4">
      <c r="A20" s="5">
        <v>17</v>
      </c>
      <c r="B20" s="6">
        <v>0</v>
      </c>
      <c r="C20" s="6">
        <v>1</v>
      </c>
      <c r="D20" s="6">
        <v>1</v>
      </c>
      <c r="E20" s="6">
        <v>1</v>
      </c>
      <c r="F20" s="6">
        <v>1</v>
      </c>
      <c r="G20" s="6">
        <v>1</v>
      </c>
      <c r="H20" s="6">
        <v>1</v>
      </c>
    </row>
    <row r="21" spans="1:8" x14ac:dyDescent="0.4">
      <c r="A21" s="5">
        <v>18</v>
      </c>
      <c r="B21" s="6">
        <v>0</v>
      </c>
      <c r="C21" s="6">
        <v>1</v>
      </c>
      <c r="D21" s="6">
        <v>1</v>
      </c>
      <c r="E21" s="6">
        <v>1</v>
      </c>
      <c r="F21" s="6">
        <v>1</v>
      </c>
      <c r="G21" s="6">
        <v>1</v>
      </c>
      <c r="H21" s="6">
        <v>1</v>
      </c>
    </row>
    <row r="22" spans="1:8" x14ac:dyDescent="0.4">
      <c r="A22" s="5">
        <v>19</v>
      </c>
      <c r="B22" s="6">
        <v>0</v>
      </c>
      <c r="C22" s="6">
        <v>1</v>
      </c>
      <c r="D22" s="6">
        <v>1</v>
      </c>
      <c r="E22" s="6">
        <v>1</v>
      </c>
      <c r="F22" s="6">
        <v>1</v>
      </c>
      <c r="G22" s="6">
        <v>1</v>
      </c>
      <c r="H22" s="6">
        <v>1</v>
      </c>
    </row>
    <row r="23" spans="1:8" x14ac:dyDescent="0.4">
      <c r="A23" s="5">
        <v>20</v>
      </c>
      <c r="B23" s="6">
        <v>0</v>
      </c>
      <c r="C23" s="6">
        <v>1</v>
      </c>
      <c r="D23" s="6">
        <v>1</v>
      </c>
      <c r="E23" s="6">
        <v>1</v>
      </c>
      <c r="F23" s="6">
        <v>1</v>
      </c>
      <c r="G23" s="6">
        <v>1</v>
      </c>
      <c r="H23" s="6">
        <v>1</v>
      </c>
    </row>
    <row r="24" spans="1:8" x14ac:dyDescent="0.4">
      <c r="A24" s="5">
        <v>21</v>
      </c>
      <c r="B24" s="6">
        <v>0</v>
      </c>
      <c r="C24" s="6">
        <v>1</v>
      </c>
      <c r="D24" s="6">
        <v>1</v>
      </c>
      <c r="E24" s="6">
        <v>1</v>
      </c>
      <c r="F24" s="6">
        <v>1</v>
      </c>
      <c r="G24" s="6">
        <v>1</v>
      </c>
      <c r="H24" s="6">
        <v>1</v>
      </c>
    </row>
    <row r="25" spans="1:8" x14ac:dyDescent="0.4">
      <c r="A25" s="5">
        <v>22</v>
      </c>
      <c r="B25" s="6">
        <v>0</v>
      </c>
      <c r="C25" s="6">
        <v>1</v>
      </c>
      <c r="D25" s="6">
        <v>1</v>
      </c>
      <c r="E25" s="6">
        <v>1</v>
      </c>
      <c r="F25" s="6">
        <v>1</v>
      </c>
      <c r="G25" s="6">
        <v>1</v>
      </c>
      <c r="H25" s="6">
        <v>1</v>
      </c>
    </row>
    <row r="26" spans="1:8" x14ac:dyDescent="0.4">
      <c r="A26" s="5">
        <v>23</v>
      </c>
      <c r="B26" s="6">
        <v>0</v>
      </c>
      <c r="C26" s="6">
        <v>1</v>
      </c>
      <c r="D26" s="6">
        <v>1</v>
      </c>
      <c r="E26" s="6">
        <v>1</v>
      </c>
      <c r="F26" s="6">
        <v>1</v>
      </c>
      <c r="G26" s="6">
        <v>1</v>
      </c>
      <c r="H26" s="6">
        <v>1</v>
      </c>
    </row>
    <row r="27" spans="1:8" x14ac:dyDescent="0.4">
      <c r="A27" s="5">
        <v>24</v>
      </c>
      <c r="B27" s="6">
        <v>0</v>
      </c>
      <c r="C27" s="6">
        <v>1</v>
      </c>
      <c r="D27" s="6">
        <v>1</v>
      </c>
      <c r="E27" s="6">
        <v>1</v>
      </c>
      <c r="F27" s="6">
        <v>1</v>
      </c>
      <c r="G27" s="6">
        <v>1</v>
      </c>
      <c r="H27" s="6">
        <v>1</v>
      </c>
    </row>
    <row r="28" spans="1:8" x14ac:dyDescent="0.4">
      <c r="A28" s="5">
        <v>25</v>
      </c>
      <c r="B28" s="6">
        <v>0</v>
      </c>
      <c r="C28" s="6">
        <v>1</v>
      </c>
      <c r="D28" s="6">
        <v>1</v>
      </c>
      <c r="E28" s="6">
        <v>1</v>
      </c>
      <c r="F28" s="6">
        <v>1</v>
      </c>
      <c r="G28" s="6">
        <v>1</v>
      </c>
      <c r="H28" s="6">
        <v>1</v>
      </c>
    </row>
    <row r="29" spans="1:8" x14ac:dyDescent="0.4">
      <c r="A29" s="5">
        <v>26</v>
      </c>
      <c r="B29" s="6">
        <v>0</v>
      </c>
      <c r="C29" s="6">
        <v>1</v>
      </c>
      <c r="D29" s="6">
        <v>1</v>
      </c>
      <c r="E29" s="6">
        <v>1</v>
      </c>
      <c r="F29" s="6">
        <v>1</v>
      </c>
      <c r="G29" s="6">
        <v>1</v>
      </c>
      <c r="H29" s="6">
        <v>1</v>
      </c>
    </row>
    <row r="30" spans="1:8" x14ac:dyDescent="0.4">
      <c r="A30" s="5">
        <v>27</v>
      </c>
      <c r="B30" s="6">
        <v>0</v>
      </c>
      <c r="C30" s="6">
        <v>1</v>
      </c>
      <c r="D30" s="6">
        <v>1</v>
      </c>
      <c r="E30" s="6">
        <v>1</v>
      </c>
      <c r="F30" s="6">
        <v>1</v>
      </c>
      <c r="G30" s="6">
        <v>1</v>
      </c>
      <c r="H30" s="6">
        <v>1</v>
      </c>
    </row>
    <row r="31" spans="1:8" x14ac:dyDescent="0.4">
      <c r="A31" s="5">
        <v>28</v>
      </c>
      <c r="B31" s="6">
        <v>0</v>
      </c>
      <c r="C31" s="6">
        <v>1</v>
      </c>
      <c r="D31" s="6">
        <v>1</v>
      </c>
      <c r="E31" s="6">
        <v>1</v>
      </c>
      <c r="F31" s="6">
        <v>1</v>
      </c>
      <c r="G31" s="6">
        <v>1</v>
      </c>
      <c r="H31" s="6">
        <v>1</v>
      </c>
    </row>
    <row r="32" spans="1:8" x14ac:dyDescent="0.4">
      <c r="A32" s="5">
        <v>29</v>
      </c>
      <c r="B32" s="6">
        <v>0</v>
      </c>
      <c r="C32" s="6">
        <v>1</v>
      </c>
      <c r="D32" s="6">
        <v>1</v>
      </c>
      <c r="E32" s="6">
        <v>1</v>
      </c>
      <c r="F32" s="6">
        <v>1</v>
      </c>
      <c r="G32" s="6">
        <v>1</v>
      </c>
      <c r="H32" s="6">
        <v>1</v>
      </c>
    </row>
    <row r="33" spans="1:8" x14ac:dyDescent="0.4">
      <c r="A33" s="5">
        <v>30</v>
      </c>
      <c r="B33" s="6">
        <v>0</v>
      </c>
      <c r="C33" s="6">
        <v>1</v>
      </c>
      <c r="D33" s="6">
        <v>1</v>
      </c>
      <c r="E33" s="6">
        <v>1</v>
      </c>
      <c r="F33" s="6">
        <v>1</v>
      </c>
      <c r="G33" s="6">
        <v>1</v>
      </c>
      <c r="H33" s="6">
        <v>1</v>
      </c>
    </row>
    <row r="34" spans="1:8" x14ac:dyDescent="0.4">
      <c r="A34" s="5">
        <v>31</v>
      </c>
      <c r="B34" s="6">
        <v>0</v>
      </c>
      <c r="C34" s="6">
        <v>1</v>
      </c>
      <c r="D34" s="6">
        <v>1</v>
      </c>
      <c r="E34" s="6">
        <v>1</v>
      </c>
      <c r="F34" s="6">
        <v>1</v>
      </c>
      <c r="G34" s="6">
        <v>1</v>
      </c>
      <c r="H34" s="6">
        <v>1</v>
      </c>
    </row>
    <row r="35" spans="1:8" x14ac:dyDescent="0.4">
      <c r="A35" s="5">
        <v>32</v>
      </c>
      <c r="B35" s="6">
        <v>0</v>
      </c>
      <c r="C35" s="6">
        <v>1</v>
      </c>
      <c r="D35" s="6">
        <v>1</v>
      </c>
      <c r="E35" s="6">
        <v>1</v>
      </c>
      <c r="F35" s="6">
        <v>1</v>
      </c>
      <c r="G35" s="6">
        <v>1</v>
      </c>
      <c r="H35" s="6">
        <v>1</v>
      </c>
    </row>
    <row r="36" spans="1:8" x14ac:dyDescent="0.4">
      <c r="A36" s="5">
        <v>33</v>
      </c>
      <c r="B36" s="6">
        <v>0</v>
      </c>
      <c r="C36" s="6">
        <v>1</v>
      </c>
      <c r="D36" s="6">
        <v>1</v>
      </c>
      <c r="E36" s="6">
        <v>1</v>
      </c>
      <c r="F36" s="6">
        <v>1</v>
      </c>
      <c r="G36" s="6">
        <v>1</v>
      </c>
      <c r="H36" s="6">
        <v>1</v>
      </c>
    </row>
    <row r="37" spans="1:8" x14ac:dyDescent="0.4">
      <c r="A37" s="5">
        <v>34</v>
      </c>
      <c r="B37" s="6">
        <v>0</v>
      </c>
      <c r="C37" s="6">
        <v>1</v>
      </c>
      <c r="D37" s="6">
        <v>1</v>
      </c>
      <c r="E37" s="6">
        <v>1</v>
      </c>
      <c r="F37" s="6">
        <v>1</v>
      </c>
      <c r="G37" s="6">
        <v>1</v>
      </c>
      <c r="H37" s="6">
        <v>1</v>
      </c>
    </row>
    <row r="38" spans="1:8" x14ac:dyDescent="0.4">
      <c r="A38" s="5">
        <v>35</v>
      </c>
      <c r="B38" s="6">
        <v>0</v>
      </c>
      <c r="C38" s="6">
        <v>1</v>
      </c>
      <c r="D38" s="6">
        <v>1</v>
      </c>
      <c r="E38" s="6">
        <v>1</v>
      </c>
      <c r="F38" s="6">
        <v>1</v>
      </c>
      <c r="G38" s="6">
        <v>1</v>
      </c>
      <c r="H38" s="6">
        <v>1</v>
      </c>
    </row>
    <row r="39" spans="1:8" x14ac:dyDescent="0.4">
      <c r="A39" s="5">
        <v>36</v>
      </c>
      <c r="B39" s="6">
        <v>0</v>
      </c>
      <c r="C39" s="6">
        <v>1</v>
      </c>
      <c r="D39" s="6">
        <v>1</v>
      </c>
      <c r="E39" s="6">
        <v>1</v>
      </c>
      <c r="F39" s="6">
        <v>1</v>
      </c>
      <c r="G39" s="6">
        <v>1</v>
      </c>
      <c r="H39" s="6">
        <v>1</v>
      </c>
    </row>
    <row r="40" spans="1:8" x14ac:dyDescent="0.4">
      <c r="A40" s="5">
        <v>37</v>
      </c>
      <c r="B40" s="6">
        <v>0</v>
      </c>
      <c r="C40" s="6">
        <v>1</v>
      </c>
      <c r="D40" s="6">
        <v>1</v>
      </c>
      <c r="E40" s="6">
        <v>1</v>
      </c>
      <c r="F40" s="6">
        <v>1</v>
      </c>
      <c r="G40" s="6">
        <v>1</v>
      </c>
      <c r="H40" s="6">
        <v>1</v>
      </c>
    </row>
    <row r="41" spans="1:8" x14ac:dyDescent="0.4">
      <c r="A41" s="5">
        <v>38</v>
      </c>
      <c r="B41" s="6">
        <v>0</v>
      </c>
      <c r="C41" s="6">
        <v>1</v>
      </c>
      <c r="D41" s="6">
        <v>1</v>
      </c>
      <c r="E41" s="6">
        <v>1</v>
      </c>
      <c r="F41" s="6">
        <v>1</v>
      </c>
      <c r="G41" s="6">
        <v>1</v>
      </c>
      <c r="H41" s="6">
        <v>1</v>
      </c>
    </row>
    <row r="42" spans="1:8" x14ac:dyDescent="0.4">
      <c r="A42" s="5">
        <v>39</v>
      </c>
      <c r="B42" s="6">
        <v>0</v>
      </c>
      <c r="C42" s="6">
        <v>1</v>
      </c>
      <c r="D42" s="6">
        <v>1</v>
      </c>
      <c r="E42" s="6">
        <v>1</v>
      </c>
      <c r="F42" s="6">
        <v>1</v>
      </c>
      <c r="G42" s="6">
        <v>1</v>
      </c>
      <c r="H42" s="6">
        <v>1</v>
      </c>
    </row>
    <row r="43" spans="1:8" x14ac:dyDescent="0.4">
      <c r="A43" s="5">
        <v>40</v>
      </c>
      <c r="B43" s="6">
        <v>0</v>
      </c>
      <c r="C43" s="6">
        <v>1</v>
      </c>
      <c r="D43" s="6">
        <v>1</v>
      </c>
      <c r="E43" s="6">
        <v>1</v>
      </c>
      <c r="F43" s="6">
        <v>1</v>
      </c>
      <c r="G43" s="6">
        <v>1</v>
      </c>
      <c r="H43" s="6">
        <v>1</v>
      </c>
    </row>
    <row r="44" spans="1:8" x14ac:dyDescent="0.4">
      <c r="A44" s="5">
        <v>41</v>
      </c>
      <c r="B44" s="6">
        <v>0</v>
      </c>
      <c r="C44" s="6">
        <v>1</v>
      </c>
      <c r="D44" s="6">
        <v>1</v>
      </c>
      <c r="E44" s="6">
        <v>1</v>
      </c>
      <c r="F44" s="6">
        <v>1</v>
      </c>
      <c r="G44" s="6">
        <v>1</v>
      </c>
      <c r="H44" s="6">
        <v>1</v>
      </c>
    </row>
    <row r="45" spans="1:8" x14ac:dyDescent="0.4">
      <c r="A45" s="5">
        <v>42</v>
      </c>
      <c r="B45" s="6">
        <v>0</v>
      </c>
      <c r="C45" s="6">
        <v>1</v>
      </c>
      <c r="D45" s="6">
        <v>1</v>
      </c>
      <c r="E45" s="6">
        <v>1</v>
      </c>
      <c r="F45" s="6">
        <v>1</v>
      </c>
      <c r="G45" s="6">
        <v>1</v>
      </c>
      <c r="H45" s="6">
        <v>1</v>
      </c>
    </row>
    <row r="46" spans="1:8" x14ac:dyDescent="0.4">
      <c r="A46" s="5">
        <v>43</v>
      </c>
      <c r="B46" s="6">
        <v>0</v>
      </c>
      <c r="C46" s="6">
        <v>1</v>
      </c>
      <c r="D46" s="6">
        <v>1</v>
      </c>
      <c r="E46" s="6">
        <v>1</v>
      </c>
      <c r="F46" s="6">
        <v>1</v>
      </c>
      <c r="G46" s="6">
        <v>1</v>
      </c>
      <c r="H46" s="6">
        <v>1</v>
      </c>
    </row>
    <row r="47" spans="1:8" x14ac:dyDescent="0.4">
      <c r="A47" s="5">
        <v>44</v>
      </c>
      <c r="B47" s="6">
        <v>0</v>
      </c>
      <c r="C47" s="6">
        <v>1</v>
      </c>
      <c r="D47" s="6">
        <v>1</v>
      </c>
      <c r="E47" s="6">
        <v>1</v>
      </c>
      <c r="F47" s="6">
        <v>1</v>
      </c>
      <c r="G47" s="6">
        <v>1</v>
      </c>
      <c r="H47" s="6">
        <v>1</v>
      </c>
    </row>
    <row r="48" spans="1:8" x14ac:dyDescent="0.4">
      <c r="A48" s="5">
        <v>45</v>
      </c>
      <c r="B48" s="6">
        <v>0</v>
      </c>
      <c r="C48" s="6">
        <v>1</v>
      </c>
      <c r="D48" s="6">
        <v>1</v>
      </c>
      <c r="E48" s="6">
        <v>1</v>
      </c>
      <c r="F48" s="6">
        <v>1</v>
      </c>
      <c r="G48" s="6">
        <v>1</v>
      </c>
      <c r="H48" s="6">
        <v>1</v>
      </c>
    </row>
  </sheetData>
  <sheetProtection algorithmName="SHA-512" hashValue="7Z9xjryhuxwqCnADAlqkE1DpfZa6FLmZJDg7IrobZ6Phqmv1A8MusKWB6SHwdqVXdal1tFTRz5ZOLNb0tJoz5Q==" saltValue="DfjWJQP9bZGwmEstUoS1hg==" spinCount="100000" sheet="1" objects="1" scenarios="1" selectLockedCell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94433-8C3E-46AC-8DE9-9030788B35E6}">
  <dimension ref="A1:B22"/>
  <sheetViews>
    <sheetView workbookViewId="0">
      <selection activeCell="B21" sqref="B21"/>
    </sheetView>
  </sheetViews>
  <sheetFormatPr defaultColWidth="9.1796875" defaultRowHeight="15" x14ac:dyDescent="0.4"/>
  <cols>
    <col min="1" max="1" width="34" style="3" customWidth="1"/>
    <col min="2" max="2" width="30" style="3" customWidth="1"/>
    <col min="3" max="16384" width="9.1796875" style="3"/>
  </cols>
  <sheetData>
    <row r="1" spans="1:2" x14ac:dyDescent="0.4">
      <c r="A1" s="2" t="s">
        <v>149</v>
      </c>
    </row>
    <row r="2" spans="1:2" x14ac:dyDescent="0.4">
      <c r="A2" s="1" t="s">
        <v>0</v>
      </c>
      <c r="B2" s="45" t="s">
        <v>144</v>
      </c>
    </row>
    <row r="3" spans="1:2" x14ac:dyDescent="0.4">
      <c r="A3" s="1" t="s">
        <v>1</v>
      </c>
      <c r="B3" s="53" t="s">
        <v>19</v>
      </c>
    </row>
    <row r="4" spans="1:2" x14ac:dyDescent="0.4">
      <c r="A4" s="1"/>
      <c r="B4" s="1" t="s">
        <v>2</v>
      </c>
    </row>
    <row r="5" spans="1:2" x14ac:dyDescent="0.4">
      <c r="A5" s="1"/>
      <c r="B5" s="1" t="s">
        <v>3</v>
      </c>
    </row>
    <row r="6" spans="1:2" x14ac:dyDescent="0.4">
      <c r="A6" s="1" t="s">
        <v>4</v>
      </c>
      <c r="B6" s="1" t="s">
        <v>5</v>
      </c>
    </row>
    <row r="7" spans="1:2" x14ac:dyDescent="0.4">
      <c r="A7" s="1" t="s">
        <v>6</v>
      </c>
      <c r="B7" s="1" t="s">
        <v>7</v>
      </c>
    </row>
    <row r="8" spans="1:2" x14ac:dyDescent="0.4">
      <c r="A8" s="1"/>
      <c r="B8" s="1" t="s">
        <v>8</v>
      </c>
    </row>
    <row r="11" spans="1:2" x14ac:dyDescent="0.4">
      <c r="A11" s="2" t="s">
        <v>145</v>
      </c>
    </row>
    <row r="12" spans="1:2" x14ac:dyDescent="0.4">
      <c r="A12" s="1" t="s">
        <v>0</v>
      </c>
      <c r="B12" s="45" t="s">
        <v>144</v>
      </c>
    </row>
    <row r="13" spans="1:2" x14ac:dyDescent="0.4">
      <c r="A13" s="1" t="s">
        <v>1</v>
      </c>
      <c r="B13" s="1" t="s">
        <v>10</v>
      </c>
    </row>
    <row r="14" spans="1:2" x14ac:dyDescent="0.4">
      <c r="A14" s="1"/>
      <c r="B14" s="1" t="s">
        <v>11</v>
      </c>
    </row>
    <row r="15" spans="1:2" x14ac:dyDescent="0.4">
      <c r="A15" s="1"/>
      <c r="B15" s="1" t="s">
        <v>12</v>
      </c>
    </row>
    <row r="16" spans="1:2" x14ac:dyDescent="0.4">
      <c r="A16" s="1"/>
      <c r="B16" s="1" t="s">
        <v>13</v>
      </c>
    </row>
    <row r="17" spans="1:2" x14ac:dyDescent="0.4">
      <c r="A17" s="1" t="s">
        <v>4</v>
      </c>
      <c r="B17" s="1" t="s">
        <v>5</v>
      </c>
    </row>
    <row r="18" spans="1:2" x14ac:dyDescent="0.4">
      <c r="A18" s="1" t="s">
        <v>14</v>
      </c>
      <c r="B18" s="45" t="s">
        <v>146</v>
      </c>
    </row>
    <row r="19" spans="1:2" x14ac:dyDescent="0.4">
      <c r="A19" s="1" t="s">
        <v>15</v>
      </c>
      <c r="B19" s="1" t="s">
        <v>16</v>
      </c>
    </row>
    <row r="20" spans="1:2" x14ac:dyDescent="0.4">
      <c r="A20" s="1"/>
      <c r="B20" s="1" t="s">
        <v>17</v>
      </c>
    </row>
    <row r="21" spans="1:2" x14ac:dyDescent="0.4">
      <c r="A21" s="1" t="s">
        <v>6</v>
      </c>
      <c r="B21" s="1" t="s">
        <v>7</v>
      </c>
    </row>
    <row r="22" spans="1:2" x14ac:dyDescent="0.4">
      <c r="A22" s="1"/>
      <c r="B22" s="1" t="s">
        <v>8</v>
      </c>
    </row>
  </sheetData>
  <sheetProtection algorithmName="SHA-512" hashValue="9WkEOFrzAw+mxu0M9GLM9PSdphSRWidvy/k3VgJ5bpz038WMbIcMO93TTkVM5FZOggjne9OgQ3eZRnH7oANY8Q==" saltValue="QUTcmzru+hyTNO7K3Eh2Kw==" spinCount="100000" sheet="1" objects="1" scenarios="1" selectLockedCells="1"/>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Calculator</vt:lpstr>
      <vt:lpstr>FY21 Faculty Salary</vt:lpstr>
      <vt:lpstr>FY21 Faculty Longevity</vt:lpstr>
      <vt:lpstr>List Sheet</vt:lpstr>
      <vt:lpstr>Calculator!Print_Area</vt:lpstr>
    </vt:vector>
  </TitlesOfParts>
  <Company>University of Idaho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Crossland, Erika (crosslande@uidaho.edu)</dc:creator>
  <cp:lastModifiedBy>Crossland, Erika (crosslande@uidaho.edu)</cp:lastModifiedBy>
  <cp:lastPrinted>2020-06-30T22:22:23Z</cp:lastPrinted>
  <dcterms:created xsi:type="dcterms:W3CDTF">2020-03-03T17:18:42Z</dcterms:created>
  <dcterms:modified xsi:type="dcterms:W3CDTF">2020-06-30T22:22:49Z</dcterms:modified>
</cp:coreProperties>
</file>