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RO\OSP\+Chart of Accounts Changes\"/>
    </mc:Choice>
  </mc:AlternateContent>
  <bookViews>
    <workbookView xWindow="0" yWindow="0" windowWidth="28800" windowHeight="13500"/>
  </bookViews>
  <sheets>
    <sheet name="Organization conversion by Mid " sheetId="1" r:id="rId1"/>
  </sheets>
  <calcPr calcId="162913"/>
</workbook>
</file>

<file path=xl/calcChain.xml><?xml version="1.0" encoding="utf-8"?>
<calcChain xmlns="http://schemas.openxmlformats.org/spreadsheetml/2006/main">
  <c r="E12" i="1" l="1"/>
  <c r="F12" i="1"/>
  <c r="E46" i="1"/>
  <c r="F46" i="1"/>
  <c r="E135" i="1"/>
  <c r="F135" i="1"/>
  <c r="E134" i="1"/>
  <c r="F134" i="1"/>
  <c r="E60" i="1"/>
  <c r="F60" i="1"/>
  <c r="E77" i="1"/>
  <c r="E33" i="1"/>
  <c r="F33" i="1"/>
  <c r="E23" i="1"/>
  <c r="F23" i="1"/>
  <c r="E24" i="1"/>
  <c r="F24" i="1"/>
  <c r="E93" i="1"/>
  <c r="F93" i="1"/>
  <c r="E58" i="1"/>
  <c r="F58" i="1"/>
  <c r="E59" i="1"/>
  <c r="F59" i="1"/>
  <c r="E3" i="1"/>
  <c r="F3" i="1"/>
  <c r="E5" i="1"/>
  <c r="F5" i="1"/>
  <c r="E65" i="1"/>
  <c r="F65" i="1"/>
  <c r="E64" i="1"/>
  <c r="F64" i="1"/>
  <c r="E69" i="1"/>
  <c r="F69" i="1"/>
  <c r="E80" i="1"/>
  <c r="F80" i="1"/>
  <c r="E83" i="1"/>
  <c r="F83" i="1"/>
  <c r="E96" i="1"/>
  <c r="F96" i="1"/>
  <c r="E49" i="1"/>
  <c r="F49" i="1"/>
  <c r="E127" i="1"/>
  <c r="F127" i="1"/>
  <c r="E118" i="1"/>
  <c r="F118" i="1"/>
  <c r="E129" i="1"/>
  <c r="F129" i="1"/>
  <c r="E128" i="1"/>
  <c r="F128" i="1"/>
  <c r="E40" i="1"/>
  <c r="F40" i="1"/>
  <c r="E105" i="1"/>
  <c r="F105" i="1"/>
  <c r="E34" i="1"/>
  <c r="F34" i="1"/>
  <c r="E44" i="1"/>
  <c r="F44" i="1"/>
  <c r="E10" i="1"/>
  <c r="F10" i="1"/>
  <c r="E11" i="1"/>
  <c r="F11" i="1"/>
  <c r="E26" i="1"/>
  <c r="F26" i="1"/>
  <c r="E28" i="1"/>
  <c r="F28" i="1"/>
  <c r="E30" i="1"/>
  <c r="F30" i="1"/>
  <c r="E119" i="1"/>
  <c r="F119" i="1"/>
  <c r="E121" i="1"/>
  <c r="F121" i="1"/>
  <c r="E136" i="1"/>
  <c r="F136" i="1"/>
  <c r="E123" i="1"/>
  <c r="F123" i="1"/>
  <c r="E36" i="1"/>
  <c r="F36" i="1"/>
  <c r="E37" i="1"/>
  <c r="F37" i="1"/>
  <c r="E41" i="1"/>
  <c r="F41" i="1"/>
  <c r="E99" i="1"/>
  <c r="F99" i="1"/>
  <c r="E100" i="1"/>
  <c r="F100" i="1"/>
  <c r="E74" i="1"/>
  <c r="F74" i="1"/>
  <c r="E66" i="1"/>
  <c r="F66" i="1"/>
  <c r="E72" i="1"/>
  <c r="F72" i="1"/>
  <c r="E25" i="1"/>
  <c r="F25" i="1"/>
  <c r="E9" i="1"/>
  <c r="F9" i="1"/>
  <c r="E54" i="1"/>
  <c r="F54" i="1"/>
  <c r="E75" i="1"/>
  <c r="F75" i="1"/>
  <c r="E6" i="1"/>
  <c r="F6" i="1"/>
  <c r="E45" i="1"/>
  <c r="F45" i="1"/>
  <c r="E97" i="1"/>
  <c r="F97" i="1"/>
  <c r="E104" i="1"/>
  <c r="F104" i="1"/>
  <c r="E87" i="1"/>
  <c r="F87" i="1"/>
  <c r="E15" i="1"/>
  <c r="F15" i="1"/>
  <c r="E16" i="1"/>
  <c r="F16" i="1"/>
  <c r="E19" i="1"/>
  <c r="F19" i="1"/>
  <c r="E21" i="1"/>
  <c r="F21" i="1"/>
  <c r="E71" i="1"/>
  <c r="F71" i="1"/>
  <c r="E4" i="1"/>
  <c r="F4" i="1"/>
  <c r="E133" i="1"/>
  <c r="F133" i="1"/>
  <c r="E63" i="1"/>
  <c r="F63" i="1"/>
  <c r="E109" i="1"/>
  <c r="F109" i="1"/>
  <c r="E95" i="1"/>
  <c r="F95" i="1"/>
  <c r="E68" i="1"/>
  <c r="F68" i="1"/>
  <c r="E70" i="1"/>
  <c r="F70" i="1"/>
  <c r="E131" i="1"/>
  <c r="F131" i="1"/>
  <c r="E50" i="1"/>
  <c r="F50" i="1"/>
  <c r="E39" i="1"/>
  <c r="F39" i="1"/>
  <c r="E122" i="1"/>
  <c r="F122" i="1"/>
  <c r="F92" i="1"/>
  <c r="E8" i="1"/>
  <c r="F8" i="1"/>
  <c r="E86" i="1"/>
  <c r="F86" i="1"/>
  <c r="E67" i="1"/>
  <c r="F67" i="1"/>
  <c r="E27" i="1"/>
  <c r="F27" i="1"/>
  <c r="E20" i="1"/>
  <c r="F20" i="1"/>
  <c r="E84" i="1"/>
  <c r="F84" i="1"/>
  <c r="E42" i="1"/>
  <c r="F42" i="1"/>
  <c r="E73" i="1"/>
  <c r="F73" i="1"/>
  <c r="E48" i="1"/>
  <c r="F48" i="1"/>
  <c r="E17" i="1"/>
  <c r="F17" i="1"/>
  <c r="E29" i="1"/>
  <c r="F29" i="1"/>
  <c r="E120" i="1"/>
  <c r="F120" i="1"/>
  <c r="E108" i="1"/>
  <c r="F108" i="1"/>
  <c r="E113" i="1"/>
  <c r="F113" i="1"/>
  <c r="E126" i="1"/>
  <c r="F126" i="1"/>
  <c r="E61" i="1"/>
  <c r="F61" i="1"/>
  <c r="E38" i="1"/>
  <c r="F38" i="1"/>
  <c r="E7" i="1"/>
  <c r="F7" i="1"/>
  <c r="E124" i="1"/>
  <c r="F124" i="1"/>
  <c r="E110" i="1"/>
  <c r="F110" i="1"/>
  <c r="E81" i="1"/>
  <c r="F81" i="1"/>
  <c r="E107" i="1"/>
  <c r="F107" i="1"/>
  <c r="E106" i="1"/>
  <c r="F106" i="1"/>
  <c r="E35" i="1"/>
  <c r="F35" i="1"/>
  <c r="E57" i="1"/>
  <c r="F57" i="1"/>
  <c r="E47" i="1"/>
  <c r="F47" i="1"/>
  <c r="E56" i="1"/>
  <c r="F56" i="1"/>
  <c r="E102" i="1"/>
  <c r="F102" i="1"/>
  <c r="E111" i="1"/>
  <c r="F111" i="1"/>
  <c r="E53" i="1"/>
  <c r="F53" i="1"/>
  <c r="E55" i="1"/>
  <c r="F55" i="1"/>
  <c r="E2" i="1"/>
  <c r="F2" i="1"/>
  <c r="E114" i="1"/>
  <c r="F114" i="1"/>
  <c r="E112" i="1"/>
  <c r="F112" i="1"/>
  <c r="E132" i="1"/>
  <c r="F132" i="1"/>
  <c r="E89" i="1"/>
  <c r="F89" i="1"/>
  <c r="E82" i="1"/>
  <c r="F82" i="1"/>
  <c r="E103" i="1"/>
  <c r="F103" i="1"/>
  <c r="E13" i="1"/>
  <c r="F13" i="1"/>
  <c r="E94" i="1"/>
  <c r="F94" i="1"/>
  <c r="E62" i="1"/>
  <c r="F62" i="1"/>
  <c r="E52" i="1"/>
  <c r="F52" i="1"/>
  <c r="E125" i="1"/>
  <c r="F125" i="1"/>
  <c r="E88" i="1"/>
  <c r="F88" i="1"/>
  <c r="E90" i="1"/>
  <c r="F90" i="1"/>
  <c r="E115" i="1"/>
  <c r="F115" i="1"/>
  <c r="E51" i="1"/>
  <c r="F51" i="1"/>
  <c r="E31" i="1"/>
  <c r="F31" i="1"/>
  <c r="E32" i="1"/>
  <c r="F32" i="1"/>
  <c r="E43" i="1"/>
  <c r="F43" i="1"/>
  <c r="E116" i="1"/>
  <c r="F116" i="1"/>
  <c r="E78" i="1"/>
  <c r="F78" i="1"/>
  <c r="E22" i="1"/>
  <c r="F22" i="1"/>
  <c r="E130" i="1"/>
  <c r="F130" i="1"/>
  <c r="E117" i="1"/>
  <c r="F117" i="1"/>
  <c r="E79" i="1"/>
  <c r="F79" i="1"/>
  <c r="E76" i="1"/>
  <c r="F76" i="1"/>
  <c r="E91" i="1"/>
  <c r="F91" i="1"/>
</calcChain>
</file>

<file path=xl/sharedStrings.xml><?xml version="1.0" encoding="utf-8"?>
<sst xmlns="http://schemas.openxmlformats.org/spreadsheetml/2006/main" count="558" uniqueCount="325">
  <si>
    <t>M002</t>
  </si>
  <si>
    <t>Col of Agricultural &amp; Life Sciences</t>
  </si>
  <si>
    <t>Animal Vet Science</t>
  </si>
  <si>
    <t>M030</t>
  </si>
  <si>
    <t>Student Affairs</t>
  </si>
  <si>
    <t>College of Business &amp; Economics</t>
  </si>
  <si>
    <t>M001</t>
  </si>
  <si>
    <t>Col of Letters, Arts &amp; Social Sci.</t>
  </si>
  <si>
    <t>Theatre Arts</t>
  </si>
  <si>
    <t>M003</t>
  </si>
  <si>
    <t>WI-Regional Program in Vet Med</t>
  </si>
  <si>
    <t>WA/ID Veterinary Medicine</t>
  </si>
  <si>
    <t>M022N</t>
  </si>
  <si>
    <t>University Outreach-Northern Idaho</t>
  </si>
  <si>
    <t>Coeur d'Alene Center</t>
  </si>
  <si>
    <t>M004</t>
  </si>
  <si>
    <t>M011</t>
  </si>
  <si>
    <t>College of Law</t>
  </si>
  <si>
    <t>College of Law Administration</t>
  </si>
  <si>
    <t>Southern District</t>
  </si>
  <si>
    <t>Central District</t>
  </si>
  <si>
    <t>Eastern District</t>
  </si>
  <si>
    <t>M012</t>
  </si>
  <si>
    <t>College of Science</t>
  </si>
  <si>
    <t>Chemistry</t>
  </si>
  <si>
    <t>M041</t>
  </si>
  <si>
    <t>Auxiliary Services</t>
  </si>
  <si>
    <t>Accounting</t>
  </si>
  <si>
    <t>Business</t>
  </si>
  <si>
    <t>M005</t>
  </si>
  <si>
    <t>CoEd, Health &amp; Human Sciences</t>
  </si>
  <si>
    <t>CoEd, Health and Human Services</t>
  </si>
  <si>
    <t>Department of Movement Sciences</t>
  </si>
  <si>
    <t>M006</t>
  </si>
  <si>
    <t>College of Engineering</t>
  </si>
  <si>
    <t>Civil Engineering</t>
  </si>
  <si>
    <t>Electrical &amp; Computer Engineering</t>
  </si>
  <si>
    <t>M008</t>
  </si>
  <si>
    <t>College of Natural Resources</t>
  </si>
  <si>
    <t>Forest, Rangeland, &amp; Fire Sciences</t>
  </si>
  <si>
    <t>Fish &amp; Wildlife Resources</t>
  </si>
  <si>
    <t>Geography</t>
  </si>
  <si>
    <t>M014</t>
  </si>
  <si>
    <t>College of Art &amp; Architecture</t>
  </si>
  <si>
    <t>Art &amp; Architecture Admin</t>
  </si>
  <si>
    <t>M015</t>
  </si>
  <si>
    <t>College of Graduate Studies</t>
  </si>
  <si>
    <t>M017</t>
  </si>
  <si>
    <t>Research Centers and Institutes</t>
  </si>
  <si>
    <t>Water/Energy Resources Res Inst</t>
  </si>
  <si>
    <t>M018</t>
  </si>
  <si>
    <t>General Library</t>
  </si>
  <si>
    <t>M025</t>
  </si>
  <si>
    <t>Enrollment Management</t>
  </si>
  <si>
    <t>Dean of Students</t>
  </si>
  <si>
    <t>Counseling &amp; Testing Center</t>
  </si>
  <si>
    <t>Lionel Hamption School of Music</t>
  </si>
  <si>
    <t>Career Services</t>
  </si>
  <si>
    <t>Anthroplology Lab</t>
  </si>
  <si>
    <t>Psychology &amp; Communication Studies</t>
  </si>
  <si>
    <t>Research Administration</t>
  </si>
  <si>
    <t>Ag Econ Rural Sociology</t>
  </si>
  <si>
    <t>AG Extension Education</t>
  </si>
  <si>
    <t>Family Consumer Science</t>
  </si>
  <si>
    <t>International Programs</t>
  </si>
  <si>
    <t>Northern District</t>
  </si>
  <si>
    <t>M047</t>
  </si>
  <si>
    <t>Information Technology</t>
  </si>
  <si>
    <t>ITS Reserves</t>
  </si>
  <si>
    <t>M050</t>
  </si>
  <si>
    <t>President's Area</t>
  </si>
  <si>
    <t>President's Office</t>
  </si>
  <si>
    <t>M027</t>
  </si>
  <si>
    <t>WWAMI Medical Education Program</t>
  </si>
  <si>
    <t>Medical Education Program</t>
  </si>
  <si>
    <t>M009</t>
  </si>
  <si>
    <t>Forest Utilization Research</t>
  </si>
  <si>
    <t>Idaho Geological Survey</t>
  </si>
  <si>
    <t>English</t>
  </si>
  <si>
    <t>History</t>
  </si>
  <si>
    <t xml:space="preserve">Martin Institute </t>
  </si>
  <si>
    <t>Mathematics</t>
  </si>
  <si>
    <t>Physics</t>
  </si>
  <si>
    <t>Mechanical Engineering</t>
  </si>
  <si>
    <t>Computer Science</t>
  </si>
  <si>
    <t>Engineering Outreach</t>
  </si>
  <si>
    <t>Extension Forestry</t>
  </si>
  <si>
    <t>State 4-H</t>
  </si>
  <si>
    <t>Landscape Architecture</t>
  </si>
  <si>
    <t>NIATT</t>
  </si>
  <si>
    <t>M051</t>
  </si>
  <si>
    <t>University Advancement</t>
  </si>
  <si>
    <t>Dept of Curriculum &amp; Instruction</t>
  </si>
  <si>
    <t xml:space="preserve">Sociology &amp; Anthropology </t>
  </si>
  <si>
    <t>Geological Sciences</t>
  </si>
  <si>
    <t>Academic Support Programs</t>
  </si>
  <si>
    <t>Natural Resources Expt Station</t>
  </si>
  <si>
    <t>Aberdeen Research Center</t>
  </si>
  <si>
    <t>Caldwell Research Center</t>
  </si>
  <si>
    <t>Kimberly Research Center</t>
  </si>
  <si>
    <t>Tetonia Research Center</t>
  </si>
  <si>
    <t>Engineering in Boise</t>
  </si>
  <si>
    <t>Ctr on Disabilities &amp; Human Dev</t>
  </si>
  <si>
    <t>M022I</t>
  </si>
  <si>
    <t>University Outreach - Idaho Falls</t>
  </si>
  <si>
    <t>Idaho Falls Center</t>
  </si>
  <si>
    <t>Chemical Engineering</t>
  </si>
  <si>
    <t>Ctr Secure &amp; Dependable Software</t>
  </si>
  <si>
    <t>Engineering Experiment Station</t>
  </si>
  <si>
    <t>M022B</t>
  </si>
  <si>
    <t>University Outreach - Boise</t>
  </si>
  <si>
    <t>Boise Center</t>
  </si>
  <si>
    <t>Art &amp; Design</t>
  </si>
  <si>
    <t>Journalism and Mass Media</t>
  </si>
  <si>
    <t>Aquaculture</t>
  </si>
  <si>
    <t>Biological Sciences</t>
  </si>
  <si>
    <t>TRIO Pre-College Projects</t>
  </si>
  <si>
    <t>Natural Resources and Society</t>
  </si>
  <si>
    <t>Ctr for Ecohydraulics Research</t>
  </si>
  <si>
    <t>School Food Science</t>
  </si>
  <si>
    <t>Parma Research Center</t>
  </si>
  <si>
    <t>McCall Field Campus</t>
  </si>
  <si>
    <t>Modern Languages &amp; Cultures</t>
  </si>
  <si>
    <t>Idaho Space Grant</t>
  </si>
  <si>
    <t>Architecture</t>
  </si>
  <si>
    <t>Dubois Research Center</t>
  </si>
  <si>
    <t>Nancy M. Cummings Research Center</t>
  </si>
  <si>
    <t>M050I</t>
  </si>
  <si>
    <t>McClure Center</t>
  </si>
  <si>
    <t>M050B</t>
  </si>
  <si>
    <t>Equity and Diversity</t>
  </si>
  <si>
    <t>Native American Student Center</t>
  </si>
  <si>
    <t>Advancement Services</t>
  </si>
  <si>
    <t>EPSCoR</t>
  </si>
  <si>
    <t>Executive Education</t>
  </si>
  <si>
    <t>Jazz Festival</t>
  </si>
  <si>
    <t>Distance/Extended Education</t>
  </si>
  <si>
    <t>Leadership and Counseling</t>
  </si>
  <si>
    <t>Initiative for Bioinfo &amp; Evol Study</t>
  </si>
  <si>
    <t>CAMP</t>
  </si>
  <si>
    <t>F&amp;W-Coop Unit</t>
  </si>
  <si>
    <t>Confucius Institute</t>
  </si>
  <si>
    <t>CLASS North Idaho</t>
  </si>
  <si>
    <t>Virtual Technology and Design</t>
  </si>
  <si>
    <t>AA Integrated Design Lab</t>
  </si>
  <si>
    <t>UWP - Bldg Sustainable Communities</t>
  </si>
  <si>
    <t>UWP - Bioinfo &amp; Computational Biol</t>
  </si>
  <si>
    <t>Interior Design</t>
  </si>
  <si>
    <t>Urban Design Center</t>
  </si>
  <si>
    <t>Children's Center</t>
  </si>
  <si>
    <t>Office of Multicultural Affairs</t>
  </si>
  <si>
    <t>Women's Center</t>
  </si>
  <si>
    <t>LGBTQA Office</t>
  </si>
  <si>
    <t>Center for Advanced Energy Studies</t>
  </si>
  <si>
    <t>Tree Nutrition Coop (IFTNC)</t>
  </si>
  <si>
    <t>Academic Advising</t>
  </si>
  <si>
    <t>Biological Engineering</t>
  </si>
  <si>
    <t>CMCI</t>
  </si>
  <si>
    <t>Center of Resilient Communities</t>
  </si>
  <si>
    <t>Northwest Knowledge Network</t>
  </si>
  <si>
    <t>Taylor Wilderness Research Station</t>
  </si>
  <si>
    <t>UI Forest Research Nursery</t>
  </si>
  <si>
    <t>UI Experimental Forest</t>
  </si>
  <si>
    <t>Plant Science</t>
  </si>
  <si>
    <t>Tribal Relations</t>
  </si>
  <si>
    <t>CAA Gallery</t>
  </si>
  <si>
    <t>Soils and Water Systems</t>
  </si>
  <si>
    <t>Politics and Philosophy</t>
  </si>
  <si>
    <t>Ctr - Health in the Human Ecosystem</t>
  </si>
  <si>
    <t>Old Mid-Level</t>
  </si>
  <si>
    <t>Mid-Level Title</t>
  </si>
  <si>
    <t>Old Org</t>
  </si>
  <si>
    <t>New Org</t>
  </si>
  <si>
    <t>Grant Code Prefix</t>
  </si>
  <si>
    <t>XC</t>
  </si>
  <si>
    <t>VC</t>
  </si>
  <si>
    <t>EC</t>
  </si>
  <si>
    <t>LS</t>
  </si>
  <si>
    <t>LE</t>
  </si>
  <si>
    <t>LA</t>
  </si>
  <si>
    <t>LC</t>
  </si>
  <si>
    <t>LP</t>
  </si>
  <si>
    <t>LT</t>
  </si>
  <si>
    <t>LN</t>
  </si>
  <si>
    <t>DD</t>
  </si>
  <si>
    <t>DM</t>
  </si>
  <si>
    <t>DC</t>
  </si>
  <si>
    <t>DL</t>
  </si>
  <si>
    <t>DT</t>
  </si>
  <si>
    <t>EN</t>
  </si>
  <si>
    <t>ES</t>
  </si>
  <si>
    <t>EE</t>
  </si>
  <si>
    <t>EH</t>
  </si>
  <si>
    <t>EM</t>
  </si>
  <si>
    <t>LJ</t>
  </si>
  <si>
    <t>LM</t>
  </si>
  <si>
    <t>LL</t>
  </si>
  <si>
    <t>LH</t>
  </si>
  <si>
    <t>LZ</t>
  </si>
  <si>
    <t>AA</t>
  </si>
  <si>
    <t>AC</t>
  </si>
  <si>
    <t>AI</t>
  </si>
  <si>
    <t>AL</t>
  </si>
  <si>
    <t>AU</t>
  </si>
  <si>
    <t>AV</t>
  </si>
  <si>
    <t>BA</t>
  </si>
  <si>
    <t>BB</t>
  </si>
  <si>
    <t>BC</t>
  </si>
  <si>
    <t>BE</t>
  </si>
  <si>
    <t>EB</t>
  </si>
  <si>
    <t>EI</t>
  </si>
  <si>
    <t>NF</t>
  </si>
  <si>
    <t>NC</t>
  </si>
  <si>
    <t>NM</t>
  </si>
  <si>
    <t>NN</t>
  </si>
  <si>
    <t>NT</t>
  </si>
  <si>
    <t>SB</t>
  </si>
  <si>
    <t>SC</t>
  </si>
  <si>
    <t>SG</t>
  </si>
  <si>
    <t>SM</t>
  </si>
  <si>
    <t>SP</t>
  </si>
  <si>
    <t>MA</t>
  </si>
  <si>
    <t>MC</t>
  </si>
  <si>
    <t>MD</t>
  </si>
  <si>
    <t>ME</t>
  </si>
  <si>
    <t>MI</t>
  </si>
  <si>
    <t>SA</t>
  </si>
  <si>
    <t>AD</t>
  </si>
  <si>
    <t>AR</t>
  </si>
  <si>
    <t>AG</t>
  </si>
  <si>
    <t>AB</t>
  </si>
  <si>
    <t>AX</t>
  </si>
  <si>
    <t>EV</t>
  </si>
  <si>
    <t>EG</t>
  </si>
  <si>
    <t>EY</t>
  </si>
  <si>
    <t>EX</t>
  </si>
  <si>
    <t>EO</t>
  </si>
  <si>
    <t>CG</t>
  </si>
  <si>
    <t>WA</t>
  </si>
  <si>
    <t>NR</t>
  </si>
  <si>
    <t>NS</t>
  </si>
  <si>
    <t>NX</t>
  </si>
  <si>
    <t>NW</t>
  </si>
  <si>
    <t>NE</t>
  </si>
  <si>
    <t>SH</t>
  </si>
  <si>
    <t>SL</t>
  </si>
  <si>
    <t>SI</t>
  </si>
  <si>
    <t>MS</t>
  </si>
  <si>
    <t>MF</t>
  </si>
  <si>
    <t>QC</t>
  </si>
  <si>
    <t>QE</t>
  </si>
  <si>
    <t>QL</t>
  </si>
  <si>
    <t>QN</t>
  </si>
  <si>
    <t>QM</t>
  </si>
  <si>
    <t>QT</t>
  </si>
  <si>
    <t>QW</t>
  </si>
  <si>
    <t>PO</t>
  </si>
  <si>
    <t>RA</t>
  </si>
  <si>
    <t>UC</t>
  </si>
  <si>
    <t>RG</t>
  </si>
  <si>
    <t>RB</t>
  </si>
  <si>
    <t>UB</t>
  </si>
  <si>
    <t>TC</t>
  </si>
  <si>
    <t>TD</t>
  </si>
  <si>
    <t>UI</t>
  </si>
  <si>
    <t>WV</t>
  </si>
  <si>
    <t>WM</t>
  </si>
  <si>
    <t>Department Title</t>
  </si>
  <si>
    <t>DA</t>
  </si>
  <si>
    <t>AE</t>
  </si>
  <si>
    <t>AK</t>
  </si>
  <si>
    <t>AH</t>
  </si>
  <si>
    <t>AM</t>
  </si>
  <si>
    <t>AS</t>
  </si>
  <si>
    <t>AN</t>
  </si>
  <si>
    <t>AP</t>
  </si>
  <si>
    <t>AQ</t>
  </si>
  <si>
    <t>AT</t>
  </si>
  <si>
    <t>Entomology,Plt Pathology,Nematology</t>
  </si>
  <si>
    <t>061E</t>
  </si>
  <si>
    <t>846</t>
  </si>
  <si>
    <t>AW</t>
  </si>
  <si>
    <t>AO</t>
  </si>
  <si>
    <t>AY</t>
  </si>
  <si>
    <t>AZ</t>
  </si>
  <si>
    <t>LX</t>
  </si>
  <si>
    <t>RR</t>
  </si>
  <si>
    <t>RD</t>
  </si>
  <si>
    <t>RX</t>
  </si>
  <si>
    <t>RC</t>
  </si>
  <si>
    <t>RI</t>
  </si>
  <si>
    <t>RL</t>
  </si>
  <si>
    <t>RU</t>
  </si>
  <si>
    <t>RV</t>
  </si>
  <si>
    <t>006/005</t>
  </si>
  <si>
    <t>FF</t>
  </si>
  <si>
    <t>PM</t>
  </si>
  <si>
    <t>TE</t>
  </si>
  <si>
    <t>CA</t>
  </si>
  <si>
    <t>CB</t>
  </si>
  <si>
    <t>CN</t>
  </si>
  <si>
    <t>CE</t>
  </si>
  <si>
    <t>CW</t>
  </si>
  <si>
    <t>UA</t>
  </si>
  <si>
    <t>NY</t>
  </si>
  <si>
    <t>NP</t>
  </si>
  <si>
    <t>McIntire Stennis</t>
  </si>
  <si>
    <t>Varies</t>
  </si>
  <si>
    <t>NI</t>
  </si>
  <si>
    <t>Statistical Science</t>
  </si>
  <si>
    <t>SS</t>
  </si>
  <si>
    <t>021</t>
  </si>
  <si>
    <t>868</t>
  </si>
  <si>
    <t>INBRE</t>
  </si>
  <si>
    <t>186A</t>
  </si>
  <si>
    <t>825</t>
  </si>
  <si>
    <t>SF</t>
  </si>
  <si>
    <t>GS</t>
  </si>
  <si>
    <t>780</t>
  </si>
  <si>
    <t>Extension Administration</t>
  </si>
  <si>
    <t>AF</t>
  </si>
  <si>
    <t>051</t>
  </si>
  <si>
    <t>771</t>
  </si>
  <si>
    <t>ZL</t>
  </si>
  <si>
    <t>CALS International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</si>
</sst>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49" fontId="18" fillId="0" borderId="0" xfId="0" quotePrefix="1" applyNumberFormat="1" applyFont="1" applyAlignment="1">
      <alignment horizontal="left"/>
    </xf>
    <xf numFmtId="0" fontId="0" fillId="0" borderId="0" xfId="0" quotePrefix="1"/>
    <xf numFmtId="0" fontId="0" fillId="0" borderId="10" xfId="0" applyFill="1" applyBorder="1"/>
    <xf numFmtId="0" fontId="0" fillId="0" borderId="0" xfId="0" applyFill="1"/>
    <xf numFmtId="0" fontId="0" fillId="0" borderId="0" xfId="0" quotePrefix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abSelected="1" topLeftCell="A7" workbookViewId="0">
      <selection activeCell="C29" sqref="C29"/>
    </sheetView>
  </sheetViews>
  <sheetFormatPr defaultRowHeight="15" x14ac:dyDescent="0.25"/>
  <cols>
    <col min="2" max="2" width="33.5703125" bestFit="1" customWidth="1"/>
    <col min="3" max="3" width="36.140625" bestFit="1" customWidth="1"/>
    <col min="4" max="4" width="17" style="5" customWidth="1"/>
    <col min="5" max="5" width="9.85546875" bestFit="1" customWidth="1"/>
    <col min="6" max="6" width="9.42578125" bestFit="1" customWidth="1"/>
  </cols>
  <sheetData>
    <row r="1" spans="1:6" x14ac:dyDescent="0.25">
      <c r="A1" s="1" t="s">
        <v>169</v>
      </c>
      <c r="B1" s="1" t="s">
        <v>170</v>
      </c>
      <c r="C1" s="1" t="s">
        <v>267</v>
      </c>
      <c r="D1" s="4" t="s">
        <v>173</v>
      </c>
      <c r="E1" s="1" t="s">
        <v>171</v>
      </c>
      <c r="F1" s="1" t="s">
        <v>172</v>
      </c>
    </row>
    <row r="2" spans="1:6" x14ac:dyDescent="0.25">
      <c r="A2" t="s">
        <v>25</v>
      </c>
      <c r="B2" t="s">
        <v>26</v>
      </c>
      <c r="C2" t="s">
        <v>149</v>
      </c>
      <c r="D2" s="5" t="s">
        <v>174</v>
      </c>
      <c r="E2" t="str">
        <f>"852C"</f>
        <v>852C</v>
      </c>
      <c r="F2" t="str">
        <f>"878"</f>
        <v>878</v>
      </c>
    </row>
    <row r="3" spans="1:6" x14ac:dyDescent="0.25">
      <c r="A3" t="s">
        <v>29</v>
      </c>
      <c r="B3" t="s">
        <v>30</v>
      </c>
      <c r="C3" t="s">
        <v>31</v>
      </c>
      <c r="D3" s="5" t="s">
        <v>268</v>
      </c>
      <c r="E3" t="str">
        <f>"101"</f>
        <v>101</v>
      </c>
      <c r="F3" t="str">
        <f>"879"</f>
        <v>879</v>
      </c>
    </row>
    <row r="4" spans="1:6" x14ac:dyDescent="0.25">
      <c r="A4" t="s">
        <v>29</v>
      </c>
      <c r="B4" t="s">
        <v>30</v>
      </c>
      <c r="C4" t="s">
        <v>102</v>
      </c>
      <c r="D4" s="5" t="s">
        <v>184</v>
      </c>
      <c r="E4" t="str">
        <f>"101D"</f>
        <v>101D</v>
      </c>
      <c r="F4" t="str">
        <f>"854"</f>
        <v>854</v>
      </c>
    </row>
    <row r="5" spans="1:6" x14ac:dyDescent="0.25">
      <c r="A5" t="s">
        <v>29</v>
      </c>
      <c r="B5" t="s">
        <v>30</v>
      </c>
      <c r="C5" t="s">
        <v>32</v>
      </c>
      <c r="D5" s="5" t="s">
        <v>185</v>
      </c>
      <c r="E5" t="str">
        <f>"103"</f>
        <v>103</v>
      </c>
      <c r="F5" t="str">
        <f>"818"</f>
        <v>818</v>
      </c>
    </row>
    <row r="6" spans="1:6" x14ac:dyDescent="0.25">
      <c r="A6" t="s">
        <v>29</v>
      </c>
      <c r="B6" t="s">
        <v>30</v>
      </c>
      <c r="C6" t="s">
        <v>92</v>
      </c>
      <c r="D6" s="5" t="s">
        <v>186</v>
      </c>
      <c r="E6" t="str">
        <f>"102"</f>
        <v>102</v>
      </c>
      <c r="F6" t="str">
        <f>"798"</f>
        <v>798</v>
      </c>
    </row>
    <row r="7" spans="1:6" x14ac:dyDescent="0.25">
      <c r="A7" t="s">
        <v>29</v>
      </c>
      <c r="B7" t="s">
        <v>30</v>
      </c>
      <c r="C7" t="s">
        <v>137</v>
      </c>
      <c r="D7" s="5" t="s">
        <v>187</v>
      </c>
      <c r="E7" t="str">
        <f>"104"</f>
        <v>104</v>
      </c>
      <c r="F7" t="str">
        <f>"786"</f>
        <v>786</v>
      </c>
    </row>
    <row r="8" spans="1:6" x14ac:dyDescent="0.25">
      <c r="A8" t="s">
        <v>29</v>
      </c>
      <c r="B8" t="s">
        <v>30</v>
      </c>
      <c r="C8" t="s">
        <v>116</v>
      </c>
      <c r="D8" s="5" t="s">
        <v>188</v>
      </c>
      <c r="E8" t="str">
        <f>"101F"</f>
        <v>101F</v>
      </c>
      <c r="F8" t="str">
        <f>"828"</f>
        <v>828</v>
      </c>
    </row>
    <row r="9" spans="1:6" x14ac:dyDescent="0.25">
      <c r="A9" t="s">
        <v>0</v>
      </c>
      <c r="B9" t="s">
        <v>1</v>
      </c>
      <c r="C9" t="s">
        <v>87</v>
      </c>
      <c r="D9" s="5" t="s">
        <v>276</v>
      </c>
      <c r="E9" t="str">
        <f>"070"</f>
        <v>070</v>
      </c>
      <c r="F9" t="str">
        <f>"830"</f>
        <v>830</v>
      </c>
    </row>
    <row r="10" spans="1:6" x14ac:dyDescent="0.25">
      <c r="A10" t="s">
        <v>0</v>
      </c>
      <c r="B10" t="s">
        <v>1</v>
      </c>
      <c r="C10" t="s">
        <v>61</v>
      </c>
      <c r="D10" s="5" t="s">
        <v>227</v>
      </c>
      <c r="E10" t="str">
        <f>"054"</f>
        <v>054</v>
      </c>
      <c r="F10" t="str">
        <f>"884"</f>
        <v>884</v>
      </c>
    </row>
    <row r="11" spans="1:6" x14ac:dyDescent="0.25">
      <c r="A11" t="s">
        <v>0</v>
      </c>
      <c r="B11" t="s">
        <v>1</v>
      </c>
      <c r="C11" t="s">
        <v>62</v>
      </c>
      <c r="D11" s="5" t="s">
        <v>269</v>
      </c>
      <c r="E11" t="str">
        <f>"055"</f>
        <v>055</v>
      </c>
      <c r="F11" t="str">
        <f>"850"</f>
        <v>850</v>
      </c>
    </row>
    <row r="12" spans="1:6" x14ac:dyDescent="0.25">
      <c r="A12" t="s">
        <v>0</v>
      </c>
      <c r="B12" t="s">
        <v>1</v>
      </c>
      <c r="C12" t="s">
        <v>2</v>
      </c>
      <c r="D12" s="5" t="s">
        <v>229</v>
      </c>
      <c r="E12" t="str">
        <f>"057"</f>
        <v>057</v>
      </c>
      <c r="F12" t="str">
        <f>"848"</f>
        <v>848</v>
      </c>
    </row>
    <row r="13" spans="1:6" x14ac:dyDescent="0.25">
      <c r="A13" t="s">
        <v>0</v>
      </c>
      <c r="B13" t="s">
        <v>1</v>
      </c>
      <c r="C13" t="s">
        <v>60</v>
      </c>
      <c r="D13" s="5" t="s">
        <v>199</v>
      </c>
      <c r="E13" t="str">
        <f>"056A"</f>
        <v>056A</v>
      </c>
      <c r="F13" t="str">
        <f>"771"</f>
        <v>771</v>
      </c>
    </row>
    <row r="14" spans="1:6" x14ac:dyDescent="0.25">
      <c r="A14" t="s">
        <v>0</v>
      </c>
      <c r="B14" t="s">
        <v>1</v>
      </c>
      <c r="C14" t="s">
        <v>319</v>
      </c>
      <c r="D14" s="5" t="s">
        <v>320</v>
      </c>
      <c r="E14" s="6" t="s">
        <v>321</v>
      </c>
      <c r="F14" s="6" t="s">
        <v>322</v>
      </c>
    </row>
    <row r="15" spans="1:6" x14ac:dyDescent="0.25">
      <c r="A15" t="s">
        <v>0</v>
      </c>
      <c r="B15" t="s">
        <v>1</v>
      </c>
      <c r="C15" t="s">
        <v>97</v>
      </c>
      <c r="D15" s="5" t="s">
        <v>230</v>
      </c>
      <c r="E15" t="str">
        <f>"067A"</f>
        <v>067A</v>
      </c>
      <c r="F15" t="str">
        <f>"840"</f>
        <v>840</v>
      </c>
    </row>
    <row r="16" spans="1:6" x14ac:dyDescent="0.25">
      <c r="A16" t="s">
        <v>0</v>
      </c>
      <c r="B16" t="s">
        <v>1</v>
      </c>
      <c r="C16" t="s">
        <v>98</v>
      </c>
      <c r="D16" s="5" t="s">
        <v>200</v>
      </c>
      <c r="E16" t="str">
        <f>"067C"</f>
        <v>067C</v>
      </c>
      <c r="F16" t="str">
        <f>"874"</f>
        <v>874</v>
      </c>
    </row>
    <row r="17" spans="1:6" x14ac:dyDescent="0.25">
      <c r="A17" t="s">
        <v>0</v>
      </c>
      <c r="B17" t="s">
        <v>1</v>
      </c>
      <c r="C17" t="s">
        <v>125</v>
      </c>
      <c r="D17" s="5" t="s">
        <v>282</v>
      </c>
      <c r="E17" t="str">
        <f>"067D"</f>
        <v>067D</v>
      </c>
      <c r="F17" t="str">
        <f>"832"</f>
        <v>832</v>
      </c>
    </row>
    <row r="18" spans="1:6" x14ac:dyDescent="0.25">
      <c r="A18" t="s">
        <v>0</v>
      </c>
      <c r="B18" t="s">
        <v>1</v>
      </c>
      <c r="C18" s="2" t="s">
        <v>278</v>
      </c>
      <c r="D18" s="5" t="s">
        <v>274</v>
      </c>
      <c r="E18" t="s">
        <v>279</v>
      </c>
      <c r="F18" s="3" t="s">
        <v>280</v>
      </c>
    </row>
    <row r="19" spans="1:6" x14ac:dyDescent="0.25">
      <c r="A19" t="s">
        <v>0</v>
      </c>
      <c r="B19" t="s">
        <v>1</v>
      </c>
      <c r="C19" t="s">
        <v>99</v>
      </c>
      <c r="D19" s="5" t="s">
        <v>231</v>
      </c>
      <c r="E19" t="str">
        <f>"067K"</f>
        <v>067K</v>
      </c>
      <c r="F19" t="str">
        <f>"769"</f>
        <v>769</v>
      </c>
    </row>
    <row r="20" spans="1:6" x14ac:dyDescent="0.25">
      <c r="A20" t="s">
        <v>0</v>
      </c>
      <c r="B20" t="s">
        <v>1</v>
      </c>
      <c r="C20" t="s">
        <v>120</v>
      </c>
      <c r="D20" s="5" t="s">
        <v>283</v>
      </c>
      <c r="E20" t="str">
        <f>"067P"</f>
        <v>067P</v>
      </c>
      <c r="F20" t="str">
        <f>"757"</f>
        <v>757</v>
      </c>
    </row>
    <row r="21" spans="1:6" x14ac:dyDescent="0.25">
      <c r="A21" t="s">
        <v>0</v>
      </c>
      <c r="B21" t="s">
        <v>1</v>
      </c>
      <c r="C21" t="s">
        <v>100</v>
      </c>
      <c r="D21" s="5" t="s">
        <v>284</v>
      </c>
      <c r="E21" t="str">
        <f>"067T"</f>
        <v>067T</v>
      </c>
      <c r="F21" t="str">
        <f>"833"</f>
        <v>833</v>
      </c>
    </row>
    <row r="22" spans="1:6" x14ac:dyDescent="0.25">
      <c r="A22" t="s">
        <v>0</v>
      </c>
      <c r="B22" t="s">
        <v>1</v>
      </c>
      <c r="C22" t="s">
        <v>168</v>
      </c>
      <c r="D22" s="5" t="s">
        <v>271</v>
      </c>
      <c r="E22" t="str">
        <f>"064"</f>
        <v>064</v>
      </c>
      <c r="F22" t="str">
        <f>"582"</f>
        <v>582</v>
      </c>
    </row>
    <row r="23" spans="1:6" x14ac:dyDescent="0.25">
      <c r="A23" t="s">
        <v>0</v>
      </c>
      <c r="B23" t="s">
        <v>1</v>
      </c>
      <c r="C23" t="s">
        <v>20</v>
      </c>
      <c r="D23" s="5" t="s">
        <v>277</v>
      </c>
      <c r="E23" t="str">
        <f>"073"</f>
        <v>073</v>
      </c>
      <c r="F23" t="str">
        <f>"768"</f>
        <v>768</v>
      </c>
    </row>
    <row r="24" spans="1:6" x14ac:dyDescent="0.25">
      <c r="A24" t="s">
        <v>0</v>
      </c>
      <c r="B24" t="s">
        <v>1</v>
      </c>
      <c r="C24" t="s">
        <v>21</v>
      </c>
      <c r="D24" s="5" t="s">
        <v>203</v>
      </c>
      <c r="E24" t="str">
        <f>"074"</f>
        <v>074</v>
      </c>
      <c r="F24" t="str">
        <f>"738"</f>
        <v>738</v>
      </c>
    </row>
    <row r="25" spans="1:6" x14ac:dyDescent="0.25">
      <c r="A25" t="s">
        <v>0</v>
      </c>
      <c r="B25" t="s">
        <v>1</v>
      </c>
      <c r="C25" t="s">
        <v>86</v>
      </c>
      <c r="D25" s="5" t="s">
        <v>272</v>
      </c>
      <c r="E25" t="str">
        <f>"066"</f>
        <v>066</v>
      </c>
      <c r="F25" t="str">
        <f>"746"</f>
        <v>746</v>
      </c>
    </row>
    <row r="26" spans="1:6" x14ac:dyDescent="0.25">
      <c r="A26" t="s">
        <v>0</v>
      </c>
      <c r="B26" t="s">
        <v>1</v>
      </c>
      <c r="C26" t="s">
        <v>63</v>
      </c>
      <c r="D26" s="5" t="s">
        <v>202</v>
      </c>
      <c r="E26" t="str">
        <f>"063"</f>
        <v>063</v>
      </c>
      <c r="F26" t="str">
        <f>"875"</f>
        <v>875</v>
      </c>
    </row>
    <row r="27" spans="1:6" x14ac:dyDescent="0.25">
      <c r="A27" t="s">
        <v>0</v>
      </c>
      <c r="B27" t="s">
        <v>1</v>
      </c>
      <c r="C27" t="s">
        <v>119</v>
      </c>
      <c r="D27" s="5" t="s">
        <v>270</v>
      </c>
      <c r="E27" t="str">
        <f>"062"</f>
        <v>062</v>
      </c>
      <c r="F27" t="str">
        <f>"835"</f>
        <v>835</v>
      </c>
    </row>
    <row r="28" spans="1:6" x14ac:dyDescent="0.25">
      <c r="A28" t="s">
        <v>0</v>
      </c>
      <c r="B28" t="s">
        <v>1</v>
      </c>
      <c r="C28" t="s">
        <v>324</v>
      </c>
      <c r="D28" s="5" t="s">
        <v>201</v>
      </c>
      <c r="E28" t="str">
        <f>"068"</f>
        <v>068</v>
      </c>
      <c r="F28" t="str">
        <f>"728"</f>
        <v>728</v>
      </c>
    </row>
    <row r="29" spans="1:6" x14ac:dyDescent="0.25">
      <c r="A29" t="s">
        <v>0</v>
      </c>
      <c r="B29" t="s">
        <v>1</v>
      </c>
      <c r="C29" t="s">
        <v>126</v>
      </c>
      <c r="D29" s="5" t="s">
        <v>204</v>
      </c>
      <c r="E29" t="str">
        <f>"067H"</f>
        <v>067H</v>
      </c>
      <c r="F29" t="str">
        <f>"838"</f>
        <v>838</v>
      </c>
    </row>
    <row r="30" spans="1:6" x14ac:dyDescent="0.25">
      <c r="A30" t="s">
        <v>0</v>
      </c>
      <c r="B30" t="s">
        <v>1</v>
      </c>
      <c r="C30" t="s">
        <v>65</v>
      </c>
      <c r="D30" s="5" t="s">
        <v>228</v>
      </c>
      <c r="E30" t="str">
        <f>"071"</f>
        <v>071</v>
      </c>
      <c r="F30" t="str">
        <f>"761"</f>
        <v>761</v>
      </c>
    </row>
    <row r="31" spans="1:6" x14ac:dyDescent="0.25">
      <c r="A31" t="s">
        <v>0</v>
      </c>
      <c r="B31" t="s">
        <v>1</v>
      </c>
      <c r="C31" t="s">
        <v>163</v>
      </c>
      <c r="D31" s="5" t="s">
        <v>275</v>
      </c>
      <c r="E31" t="str">
        <f>"061P"</f>
        <v>061P</v>
      </c>
      <c r="F31" t="str">
        <f>"870"</f>
        <v>870</v>
      </c>
    </row>
    <row r="32" spans="1:6" x14ac:dyDescent="0.25">
      <c r="A32" t="s">
        <v>0</v>
      </c>
      <c r="B32" t="s">
        <v>1</v>
      </c>
      <c r="C32" t="s">
        <v>166</v>
      </c>
      <c r="D32" s="5" t="s">
        <v>281</v>
      </c>
      <c r="E32" t="str">
        <f>"061S"</f>
        <v>061S</v>
      </c>
      <c r="F32" t="str">
        <f>"826"</f>
        <v>826</v>
      </c>
    </row>
    <row r="33" spans="1:6" x14ac:dyDescent="0.25">
      <c r="A33" t="s">
        <v>0</v>
      </c>
      <c r="B33" t="s">
        <v>1</v>
      </c>
      <c r="C33" t="s">
        <v>19</v>
      </c>
      <c r="D33" s="5" t="s">
        <v>273</v>
      </c>
      <c r="E33" t="str">
        <f>"072"</f>
        <v>072</v>
      </c>
      <c r="F33" t="str">
        <f>"742"</f>
        <v>742</v>
      </c>
    </row>
    <row r="34" spans="1:6" x14ac:dyDescent="0.25">
      <c r="A34" t="s">
        <v>6</v>
      </c>
      <c r="B34" t="s">
        <v>7</v>
      </c>
      <c r="C34" t="s">
        <v>58</v>
      </c>
      <c r="D34" s="5" t="s">
        <v>179</v>
      </c>
      <c r="E34" t="str">
        <f>"679"</f>
        <v>679</v>
      </c>
      <c r="F34" t="str">
        <f>"797"</f>
        <v>797</v>
      </c>
    </row>
    <row r="35" spans="1:6" x14ac:dyDescent="0.25">
      <c r="A35" t="s">
        <v>6</v>
      </c>
      <c r="B35" t="s">
        <v>7</v>
      </c>
      <c r="C35" t="s">
        <v>142</v>
      </c>
      <c r="D35" s="5" t="s">
        <v>183</v>
      </c>
      <c r="E35" t="str">
        <f>"032"</f>
        <v>032</v>
      </c>
      <c r="F35" t="str">
        <f>"658"</f>
        <v>658</v>
      </c>
    </row>
    <row r="36" spans="1:6" x14ac:dyDescent="0.25">
      <c r="A36" t="s">
        <v>6</v>
      </c>
      <c r="B36" t="s">
        <v>7</v>
      </c>
      <c r="C36" t="s">
        <v>78</v>
      </c>
      <c r="D36" s="5" t="s">
        <v>178</v>
      </c>
      <c r="E36" t="str">
        <f>"012"</f>
        <v>012</v>
      </c>
      <c r="F36" t="str">
        <f>"865"</f>
        <v>865</v>
      </c>
    </row>
    <row r="37" spans="1:6" x14ac:dyDescent="0.25">
      <c r="A37" t="s">
        <v>6</v>
      </c>
      <c r="B37" t="s">
        <v>7</v>
      </c>
      <c r="C37" t="s">
        <v>79</v>
      </c>
      <c r="D37" s="5" t="s">
        <v>197</v>
      </c>
      <c r="E37" t="str">
        <f>"015"</f>
        <v>015</v>
      </c>
      <c r="F37" t="str">
        <f>"741"</f>
        <v>741</v>
      </c>
    </row>
    <row r="38" spans="1:6" x14ac:dyDescent="0.25">
      <c r="A38" t="s">
        <v>6</v>
      </c>
      <c r="B38" t="s">
        <v>7</v>
      </c>
      <c r="C38" t="s">
        <v>135</v>
      </c>
      <c r="D38" s="5" t="s">
        <v>198</v>
      </c>
      <c r="E38" t="str">
        <f>"029"</f>
        <v>029</v>
      </c>
      <c r="F38" t="str">
        <f>"805"</f>
        <v>805</v>
      </c>
    </row>
    <row r="39" spans="1:6" x14ac:dyDescent="0.25">
      <c r="A39" t="s">
        <v>6</v>
      </c>
      <c r="B39" t="s">
        <v>7</v>
      </c>
      <c r="C39" t="s">
        <v>113</v>
      </c>
      <c r="D39" s="5" t="s">
        <v>194</v>
      </c>
      <c r="E39" t="str">
        <f>"008"</f>
        <v>008</v>
      </c>
      <c r="F39" t="str">
        <f>"722"</f>
        <v>722</v>
      </c>
    </row>
    <row r="40" spans="1:6" x14ac:dyDescent="0.25">
      <c r="A40" t="s">
        <v>6</v>
      </c>
      <c r="B40" t="s">
        <v>7</v>
      </c>
      <c r="C40" t="s">
        <v>56</v>
      </c>
      <c r="D40" s="5" t="s">
        <v>195</v>
      </c>
      <c r="E40" t="str">
        <f>"022"</f>
        <v>022</v>
      </c>
      <c r="F40" t="str">
        <f>"706"</f>
        <v>706</v>
      </c>
    </row>
    <row r="41" spans="1:6" x14ac:dyDescent="0.25">
      <c r="A41" t="s">
        <v>6</v>
      </c>
      <c r="B41" t="s">
        <v>7</v>
      </c>
      <c r="C41" t="s">
        <v>80</v>
      </c>
      <c r="D41" s="5" t="s">
        <v>285</v>
      </c>
      <c r="E41" t="str">
        <f>"018"</f>
        <v>018</v>
      </c>
      <c r="F41" t="str">
        <f>"671"</f>
        <v>671</v>
      </c>
    </row>
    <row r="42" spans="1:6" x14ac:dyDescent="0.25">
      <c r="A42" t="s">
        <v>6</v>
      </c>
      <c r="B42" t="s">
        <v>7</v>
      </c>
      <c r="C42" t="s">
        <v>122</v>
      </c>
      <c r="D42" s="5" t="s">
        <v>196</v>
      </c>
      <c r="E42" t="str">
        <f>"013"</f>
        <v>013</v>
      </c>
      <c r="F42" t="str">
        <f>"799"</f>
        <v>799</v>
      </c>
    </row>
    <row r="43" spans="1:6" x14ac:dyDescent="0.25">
      <c r="A43" t="s">
        <v>6</v>
      </c>
      <c r="B43" t="s">
        <v>7</v>
      </c>
      <c r="C43" t="s">
        <v>167</v>
      </c>
      <c r="D43" s="5" t="s">
        <v>181</v>
      </c>
      <c r="E43" t="str">
        <f>"011"</f>
        <v>011</v>
      </c>
      <c r="F43" t="str">
        <f>"893"</f>
        <v>893</v>
      </c>
    </row>
    <row r="44" spans="1:6" x14ac:dyDescent="0.25">
      <c r="A44" t="s">
        <v>6</v>
      </c>
      <c r="B44" t="s">
        <v>7</v>
      </c>
      <c r="C44" t="s">
        <v>59</v>
      </c>
      <c r="D44" s="5" t="s">
        <v>180</v>
      </c>
      <c r="E44" t="str">
        <f>"026"</f>
        <v>026</v>
      </c>
      <c r="F44" t="str">
        <f>"827"</f>
        <v>827</v>
      </c>
    </row>
    <row r="45" spans="1:6" x14ac:dyDescent="0.25">
      <c r="A45" t="s">
        <v>6</v>
      </c>
      <c r="B45" t="s">
        <v>7</v>
      </c>
      <c r="C45" t="s">
        <v>93</v>
      </c>
      <c r="D45" s="5" t="s">
        <v>177</v>
      </c>
      <c r="E45" t="str">
        <f>"028"</f>
        <v>028</v>
      </c>
      <c r="F45" t="str">
        <f>"852"</f>
        <v>852</v>
      </c>
    </row>
    <row r="46" spans="1:6" x14ac:dyDescent="0.25">
      <c r="A46" t="s">
        <v>6</v>
      </c>
      <c r="B46" t="s">
        <v>7</v>
      </c>
      <c r="C46" t="s">
        <v>8</v>
      </c>
      <c r="D46" s="5" t="s">
        <v>182</v>
      </c>
      <c r="E46" t="str">
        <f>"010"</f>
        <v>010</v>
      </c>
      <c r="F46" t="str">
        <f>"710"</f>
        <v>710</v>
      </c>
    </row>
    <row r="47" spans="1:6" x14ac:dyDescent="0.25">
      <c r="A47" t="s">
        <v>42</v>
      </c>
      <c r="B47" t="s">
        <v>43</v>
      </c>
      <c r="C47" t="s">
        <v>144</v>
      </c>
      <c r="D47" s="5" t="s">
        <v>257</v>
      </c>
      <c r="E47" t="str">
        <f>"236I"</f>
        <v>236I</v>
      </c>
      <c r="F47" t="str">
        <f>"849"</f>
        <v>849</v>
      </c>
    </row>
    <row r="48" spans="1:6" x14ac:dyDescent="0.25">
      <c r="A48" t="s">
        <v>42</v>
      </c>
      <c r="B48" t="s">
        <v>43</v>
      </c>
      <c r="C48" t="s">
        <v>124</v>
      </c>
      <c r="D48" s="5" t="s">
        <v>286</v>
      </c>
      <c r="E48" t="str">
        <f>"236"</f>
        <v>236</v>
      </c>
      <c r="F48" t="str">
        <f>"894"</f>
        <v>894</v>
      </c>
    </row>
    <row r="49" spans="1:6" x14ac:dyDescent="0.25">
      <c r="A49" t="s">
        <v>42</v>
      </c>
      <c r="B49" t="s">
        <v>43</v>
      </c>
      <c r="C49" t="s">
        <v>44</v>
      </c>
      <c r="D49" s="5" t="s">
        <v>287</v>
      </c>
      <c r="E49" t="str">
        <f>"235"</f>
        <v>235</v>
      </c>
      <c r="F49" t="str">
        <f>"819"</f>
        <v>819</v>
      </c>
    </row>
    <row r="50" spans="1:6" x14ac:dyDescent="0.25">
      <c r="A50" t="s">
        <v>42</v>
      </c>
      <c r="B50" t="s">
        <v>43</v>
      </c>
      <c r="C50" t="s">
        <v>112</v>
      </c>
      <c r="D50" s="5" t="s">
        <v>288</v>
      </c>
      <c r="E50" t="str">
        <f>"237"</f>
        <v>237</v>
      </c>
      <c r="F50" t="str">
        <f>"863"</f>
        <v>863</v>
      </c>
    </row>
    <row r="51" spans="1:6" x14ac:dyDescent="0.25">
      <c r="A51" t="s">
        <v>42</v>
      </c>
      <c r="B51" t="s">
        <v>43</v>
      </c>
      <c r="C51" t="s">
        <v>165</v>
      </c>
      <c r="D51" s="5" t="s">
        <v>259</v>
      </c>
      <c r="E51" t="str">
        <f>"242"</f>
        <v>242</v>
      </c>
      <c r="F51" t="str">
        <f>"813"</f>
        <v>813</v>
      </c>
    </row>
    <row r="52" spans="1:6" x14ac:dyDescent="0.25">
      <c r="A52" t="s">
        <v>42</v>
      </c>
      <c r="B52" t="s">
        <v>43</v>
      </c>
      <c r="C52" t="s">
        <v>158</v>
      </c>
      <c r="D52" s="5" t="s">
        <v>289</v>
      </c>
      <c r="E52" t="str">
        <f>"238C"</f>
        <v>238C</v>
      </c>
      <c r="F52" t="str">
        <f>"807"</f>
        <v>807</v>
      </c>
    </row>
    <row r="53" spans="1:6" x14ac:dyDescent="0.25">
      <c r="A53" t="s">
        <v>42</v>
      </c>
      <c r="B53" t="s">
        <v>43</v>
      </c>
      <c r="C53" t="s">
        <v>147</v>
      </c>
      <c r="D53" s="5" t="s">
        <v>290</v>
      </c>
      <c r="E53" t="str">
        <f>"240"</f>
        <v>240</v>
      </c>
      <c r="F53" t="str">
        <f>"867"</f>
        <v>867</v>
      </c>
    </row>
    <row r="54" spans="1:6" x14ac:dyDescent="0.25">
      <c r="A54" t="s">
        <v>42</v>
      </c>
      <c r="B54" t="s">
        <v>43</v>
      </c>
      <c r="C54" t="s">
        <v>88</v>
      </c>
      <c r="D54" s="5" t="s">
        <v>291</v>
      </c>
      <c r="E54" t="str">
        <f>"238"</f>
        <v>238</v>
      </c>
      <c r="F54" t="str">
        <f>"899"</f>
        <v>899</v>
      </c>
    </row>
    <row r="55" spans="1:6" x14ac:dyDescent="0.25">
      <c r="A55" t="s">
        <v>42</v>
      </c>
      <c r="B55" t="s">
        <v>43</v>
      </c>
      <c r="C55" t="s">
        <v>148</v>
      </c>
      <c r="D55" s="5" t="s">
        <v>292</v>
      </c>
      <c r="E55" t="str">
        <f>"241"</f>
        <v>241</v>
      </c>
      <c r="F55" t="str">
        <f>"781"</f>
        <v>781</v>
      </c>
    </row>
    <row r="56" spans="1:6" x14ac:dyDescent="0.25">
      <c r="A56" t="s">
        <v>42</v>
      </c>
      <c r="B56" t="s">
        <v>43</v>
      </c>
      <c r="C56" t="s">
        <v>145</v>
      </c>
      <c r="D56" s="5" t="s">
        <v>260</v>
      </c>
      <c r="E56" t="str">
        <f>"254"</f>
        <v>254</v>
      </c>
      <c r="F56" t="str">
        <f>"778"</f>
        <v>778</v>
      </c>
    </row>
    <row r="57" spans="1:6" x14ac:dyDescent="0.25">
      <c r="A57" t="s">
        <v>42</v>
      </c>
      <c r="B57" t="s">
        <v>43</v>
      </c>
      <c r="C57" t="s">
        <v>143</v>
      </c>
      <c r="D57" s="5" t="s">
        <v>293</v>
      </c>
      <c r="E57" t="str">
        <f>"239"</f>
        <v>239</v>
      </c>
      <c r="F57" t="str">
        <f>"790"</f>
        <v>790</v>
      </c>
    </row>
    <row r="58" spans="1:6" x14ac:dyDescent="0.25">
      <c r="A58" t="s">
        <v>15</v>
      </c>
      <c r="B58" t="s">
        <v>5</v>
      </c>
      <c r="C58" t="s">
        <v>27</v>
      </c>
      <c r="D58" s="5" t="s">
        <v>205</v>
      </c>
      <c r="E58" t="str">
        <f>"078"</f>
        <v>078</v>
      </c>
      <c r="F58" t="str">
        <f>"860"</f>
        <v>860</v>
      </c>
    </row>
    <row r="59" spans="1:6" x14ac:dyDescent="0.25">
      <c r="A59" t="s">
        <v>15</v>
      </c>
      <c r="B59" t="s">
        <v>5</v>
      </c>
      <c r="C59" t="s">
        <v>28</v>
      </c>
      <c r="D59" s="5" t="s">
        <v>206</v>
      </c>
      <c r="E59" t="str">
        <f>"079"</f>
        <v>079</v>
      </c>
      <c r="F59" t="str">
        <f>"889"</f>
        <v>889</v>
      </c>
    </row>
    <row r="60" spans="1:6" x14ac:dyDescent="0.25">
      <c r="A60" t="s">
        <v>15</v>
      </c>
      <c r="B60" t="s">
        <v>5</v>
      </c>
      <c r="C60" t="s">
        <v>5</v>
      </c>
      <c r="D60" s="5" t="s">
        <v>207</v>
      </c>
      <c r="E60" t="str">
        <f>"076"</f>
        <v>076</v>
      </c>
      <c r="F60" t="str">
        <f>"785"</f>
        <v>785</v>
      </c>
    </row>
    <row r="61" spans="1:6" x14ac:dyDescent="0.25">
      <c r="A61" t="s">
        <v>15</v>
      </c>
      <c r="B61" t="s">
        <v>5</v>
      </c>
      <c r="C61" t="s">
        <v>134</v>
      </c>
      <c r="D61" s="5" t="s">
        <v>208</v>
      </c>
      <c r="E61" t="str">
        <f>"687"</f>
        <v>687</v>
      </c>
      <c r="F61" t="str">
        <f>"823"</f>
        <v>823</v>
      </c>
    </row>
    <row r="62" spans="1:6" x14ac:dyDescent="0.25">
      <c r="A62" t="s">
        <v>33</v>
      </c>
      <c r="B62" t="s">
        <v>34</v>
      </c>
      <c r="C62" t="s">
        <v>156</v>
      </c>
      <c r="D62" s="5" t="s">
        <v>209</v>
      </c>
      <c r="E62" t="str">
        <f>"134"</f>
        <v>134</v>
      </c>
      <c r="F62" t="str">
        <f>"806"</f>
        <v>806</v>
      </c>
    </row>
    <row r="63" spans="1:6" x14ac:dyDescent="0.25">
      <c r="A63" t="s">
        <v>33</v>
      </c>
      <c r="B63" t="s">
        <v>34</v>
      </c>
      <c r="C63" t="s">
        <v>106</v>
      </c>
      <c r="D63" s="5" t="s">
        <v>192</v>
      </c>
      <c r="E63" t="str">
        <f>"127"</f>
        <v>127</v>
      </c>
      <c r="F63" t="str">
        <f>"762"</f>
        <v>762</v>
      </c>
    </row>
    <row r="64" spans="1:6" x14ac:dyDescent="0.25">
      <c r="A64" t="s">
        <v>33</v>
      </c>
      <c r="B64" t="s">
        <v>34</v>
      </c>
      <c r="C64" t="s">
        <v>35</v>
      </c>
      <c r="D64" s="5" t="s">
        <v>232</v>
      </c>
      <c r="E64" t="str">
        <f>"128"</f>
        <v>128</v>
      </c>
      <c r="F64" t="str">
        <f>"820"</f>
        <v>820</v>
      </c>
    </row>
    <row r="65" spans="1:6" x14ac:dyDescent="0.25">
      <c r="A65" t="s">
        <v>33</v>
      </c>
      <c r="B65" t="s">
        <v>34</v>
      </c>
      <c r="C65" t="s">
        <v>34</v>
      </c>
      <c r="D65" s="5" t="s">
        <v>233</v>
      </c>
      <c r="E65" t="str">
        <f>"126"</f>
        <v>126</v>
      </c>
      <c r="F65" t="str">
        <f>"831"</f>
        <v>831</v>
      </c>
    </row>
    <row r="66" spans="1:6" x14ac:dyDescent="0.25">
      <c r="A66" t="s">
        <v>33</v>
      </c>
      <c r="B66" t="s">
        <v>34</v>
      </c>
      <c r="C66" t="s">
        <v>84</v>
      </c>
      <c r="D66" s="5" t="s">
        <v>176</v>
      </c>
      <c r="E66" t="str">
        <f>"131"</f>
        <v>131</v>
      </c>
      <c r="F66" t="str">
        <f>"800"</f>
        <v>800</v>
      </c>
    </row>
    <row r="67" spans="1:6" x14ac:dyDescent="0.25">
      <c r="A67" t="s">
        <v>33</v>
      </c>
      <c r="B67" t="s">
        <v>34</v>
      </c>
      <c r="C67" t="s">
        <v>118</v>
      </c>
      <c r="D67" s="5" t="s">
        <v>234</v>
      </c>
      <c r="E67" t="str">
        <f>"677L"</f>
        <v>677L</v>
      </c>
      <c r="F67" t="str">
        <f>"755"</f>
        <v>755</v>
      </c>
    </row>
    <row r="68" spans="1:6" x14ac:dyDescent="0.25">
      <c r="A68" t="s">
        <v>33</v>
      </c>
      <c r="B68" t="s">
        <v>34</v>
      </c>
      <c r="C68" t="s">
        <v>107</v>
      </c>
      <c r="D68" s="5" t="s">
        <v>190</v>
      </c>
      <c r="E68" t="str">
        <f>"696C"</f>
        <v>696C</v>
      </c>
      <c r="F68" t="str">
        <f>"726"</f>
        <v>726</v>
      </c>
    </row>
    <row r="69" spans="1:6" x14ac:dyDescent="0.25">
      <c r="A69" t="s">
        <v>33</v>
      </c>
      <c r="B69" t="s">
        <v>34</v>
      </c>
      <c r="C69" t="s">
        <v>36</v>
      </c>
      <c r="D69" s="5" t="s">
        <v>191</v>
      </c>
      <c r="E69" t="str">
        <f>"129"</f>
        <v>129</v>
      </c>
      <c r="F69" t="str">
        <f>"752"</f>
        <v>752</v>
      </c>
    </row>
    <row r="70" spans="1:6" x14ac:dyDescent="0.25">
      <c r="A70" t="s">
        <v>33</v>
      </c>
      <c r="B70" t="s">
        <v>34</v>
      </c>
      <c r="C70" t="s">
        <v>108</v>
      </c>
      <c r="D70" s="5" t="s">
        <v>235</v>
      </c>
      <c r="E70" t="str">
        <f>"677"</f>
        <v>677</v>
      </c>
      <c r="F70" t="str">
        <f>"816"</f>
        <v>816</v>
      </c>
    </row>
    <row r="71" spans="1:6" x14ac:dyDescent="0.25">
      <c r="A71" t="s">
        <v>33</v>
      </c>
      <c r="B71" t="s">
        <v>34</v>
      </c>
      <c r="C71" t="s">
        <v>101</v>
      </c>
      <c r="D71" s="5" t="s">
        <v>210</v>
      </c>
      <c r="E71" t="str">
        <f>"126B"</f>
        <v>126B</v>
      </c>
      <c r="F71" t="str">
        <f>"767"</f>
        <v>767</v>
      </c>
    </row>
    <row r="72" spans="1:6" x14ac:dyDescent="0.25">
      <c r="A72" t="s">
        <v>33</v>
      </c>
      <c r="B72" t="s">
        <v>34</v>
      </c>
      <c r="C72" t="s">
        <v>85</v>
      </c>
      <c r="D72" s="5" t="s">
        <v>236</v>
      </c>
      <c r="E72" t="str">
        <f>"133"</f>
        <v>133</v>
      </c>
      <c r="F72" t="str">
        <f>"739"</f>
        <v>739</v>
      </c>
    </row>
    <row r="73" spans="1:6" x14ac:dyDescent="0.25">
      <c r="A73" t="s">
        <v>33</v>
      </c>
      <c r="B73" t="s">
        <v>34</v>
      </c>
      <c r="C73" t="s">
        <v>123</v>
      </c>
      <c r="D73" s="5" t="s">
        <v>190</v>
      </c>
      <c r="E73" t="str">
        <f>"692"</f>
        <v>692</v>
      </c>
      <c r="F73" t="str">
        <f>"783"</f>
        <v>783</v>
      </c>
    </row>
    <row r="74" spans="1:6" x14ac:dyDescent="0.25">
      <c r="A74" t="s">
        <v>33</v>
      </c>
      <c r="B74" t="s">
        <v>34</v>
      </c>
      <c r="C74" t="s">
        <v>83</v>
      </c>
      <c r="D74" s="5" t="s">
        <v>193</v>
      </c>
      <c r="E74" t="str">
        <f>"130"</f>
        <v>130</v>
      </c>
      <c r="F74" t="str">
        <f>"843"</f>
        <v>843</v>
      </c>
    </row>
    <row r="75" spans="1:6" x14ac:dyDescent="0.25">
      <c r="A75" t="s">
        <v>33</v>
      </c>
      <c r="B75" t="s">
        <v>34</v>
      </c>
      <c r="C75" t="s">
        <v>89</v>
      </c>
      <c r="D75" s="5" t="s">
        <v>189</v>
      </c>
      <c r="E75" t="str">
        <f>"695"</f>
        <v>695</v>
      </c>
      <c r="F75" t="str">
        <f>"851"</f>
        <v>851</v>
      </c>
    </row>
    <row r="76" spans="1:6" x14ac:dyDescent="0.25">
      <c r="A76" t="s">
        <v>45</v>
      </c>
      <c r="B76" t="s">
        <v>46</v>
      </c>
      <c r="C76" t="s">
        <v>46</v>
      </c>
      <c r="D76" s="5" t="s">
        <v>317</v>
      </c>
      <c r="E76" t="str">
        <f>"276"</f>
        <v>276</v>
      </c>
      <c r="F76" t="str">
        <f>"576"</f>
        <v>576</v>
      </c>
    </row>
    <row r="77" spans="1:6" x14ac:dyDescent="0.25">
      <c r="A77" t="s">
        <v>16</v>
      </c>
      <c r="B77" t="s">
        <v>17</v>
      </c>
      <c r="C77" t="s">
        <v>18</v>
      </c>
      <c r="D77" s="5" t="s">
        <v>238</v>
      </c>
      <c r="E77" t="str">
        <f>"176"</f>
        <v>176</v>
      </c>
      <c r="F77" s="3" t="s">
        <v>318</v>
      </c>
    </row>
    <row r="78" spans="1:6" x14ac:dyDescent="0.25">
      <c r="A78" t="s">
        <v>37</v>
      </c>
      <c r="B78" t="s">
        <v>38</v>
      </c>
      <c r="C78" t="s">
        <v>40</v>
      </c>
      <c r="D78" s="5" t="s">
        <v>242</v>
      </c>
      <c r="E78" t="str">
        <f>"683"</f>
        <v>683</v>
      </c>
      <c r="F78" t="str">
        <f>"724"</f>
        <v>724</v>
      </c>
    </row>
    <row r="79" spans="1:6" x14ac:dyDescent="0.25">
      <c r="A79" t="s">
        <v>37</v>
      </c>
      <c r="B79" t="s">
        <v>38</v>
      </c>
      <c r="C79" t="s">
        <v>39</v>
      </c>
      <c r="D79" s="5" t="s">
        <v>239</v>
      </c>
      <c r="E79" t="str">
        <f>"156"</f>
        <v>156</v>
      </c>
      <c r="F79" t="str">
        <f>"691"</f>
        <v>691</v>
      </c>
    </row>
    <row r="80" spans="1:6" x14ac:dyDescent="0.25">
      <c r="A80" t="s">
        <v>37</v>
      </c>
      <c r="B80" t="s">
        <v>38</v>
      </c>
      <c r="C80" t="s">
        <v>38</v>
      </c>
      <c r="D80" s="5" t="s">
        <v>214</v>
      </c>
      <c r="E80" t="str">
        <f>"151"</f>
        <v>151</v>
      </c>
      <c r="F80" t="str">
        <f>"677"</f>
        <v>677</v>
      </c>
    </row>
    <row r="81" spans="1:6" x14ac:dyDescent="0.25">
      <c r="A81" t="s">
        <v>37</v>
      </c>
      <c r="B81" t="s">
        <v>38</v>
      </c>
      <c r="C81" t="s">
        <v>140</v>
      </c>
      <c r="D81" s="5" t="s">
        <v>212</v>
      </c>
      <c r="E81" t="str">
        <f>"154A"</f>
        <v>154A</v>
      </c>
      <c r="F81" t="str">
        <f>"661"</f>
        <v>661</v>
      </c>
    </row>
    <row r="82" spans="1:6" x14ac:dyDescent="0.25">
      <c r="A82" t="s">
        <v>37</v>
      </c>
      <c r="B82" t="s">
        <v>38</v>
      </c>
      <c r="C82" t="s">
        <v>39</v>
      </c>
      <c r="D82" s="5" t="s">
        <v>211</v>
      </c>
      <c r="E82" t="str">
        <f>"155F"</f>
        <v>155F</v>
      </c>
      <c r="F82" t="str">
        <f>"691"</f>
        <v>691</v>
      </c>
    </row>
    <row r="83" spans="1:6" x14ac:dyDescent="0.25">
      <c r="A83" t="s">
        <v>37</v>
      </c>
      <c r="B83" t="s">
        <v>38</v>
      </c>
      <c r="C83" t="s">
        <v>39</v>
      </c>
      <c r="D83" s="5" t="s">
        <v>239</v>
      </c>
      <c r="E83" t="str">
        <f>"155"</f>
        <v>155</v>
      </c>
      <c r="F83" t="str">
        <f>"691"</f>
        <v>691</v>
      </c>
    </row>
    <row r="84" spans="1:6" x14ac:dyDescent="0.25">
      <c r="A84" t="s">
        <v>37</v>
      </c>
      <c r="B84" t="s">
        <v>38</v>
      </c>
      <c r="C84" t="s">
        <v>121</v>
      </c>
      <c r="D84" s="5" t="s">
        <v>213</v>
      </c>
      <c r="E84" t="str">
        <f>"288"</f>
        <v>288</v>
      </c>
      <c r="F84" t="str">
        <f>"750"</f>
        <v>750</v>
      </c>
    </row>
    <row r="85" spans="1:6" x14ac:dyDescent="0.25">
      <c r="A85" t="s">
        <v>37</v>
      </c>
      <c r="B85" t="s">
        <v>38</v>
      </c>
      <c r="C85" t="s">
        <v>306</v>
      </c>
      <c r="D85" s="5" t="s">
        <v>308</v>
      </c>
      <c r="E85" s="5" t="s">
        <v>307</v>
      </c>
      <c r="F85" s="5" t="s">
        <v>307</v>
      </c>
    </row>
    <row r="86" spans="1:6" x14ac:dyDescent="0.25">
      <c r="A86" t="s">
        <v>37</v>
      </c>
      <c r="B86" t="s">
        <v>38</v>
      </c>
      <c r="C86" t="s">
        <v>117</v>
      </c>
      <c r="D86" s="5" t="s">
        <v>240</v>
      </c>
      <c r="E86" t="str">
        <f>"157"</f>
        <v>157</v>
      </c>
      <c r="F86" t="str">
        <f>"651"</f>
        <v>651</v>
      </c>
    </row>
    <row r="87" spans="1:6" x14ac:dyDescent="0.25">
      <c r="A87" t="s">
        <v>37</v>
      </c>
      <c r="B87" t="s">
        <v>38</v>
      </c>
      <c r="C87" t="s">
        <v>96</v>
      </c>
      <c r="D87" s="5" t="s">
        <v>243</v>
      </c>
      <c r="E87" t="str">
        <f>"688"</f>
        <v>688</v>
      </c>
      <c r="F87" t="str">
        <f>"639"</f>
        <v>639</v>
      </c>
    </row>
    <row r="88" spans="1:6" x14ac:dyDescent="0.25">
      <c r="A88" t="s">
        <v>37</v>
      </c>
      <c r="B88" t="s">
        <v>38</v>
      </c>
      <c r="C88" t="s">
        <v>160</v>
      </c>
      <c r="D88" s="5" t="s">
        <v>304</v>
      </c>
      <c r="E88" t="str">
        <f>"688T"</f>
        <v>688T</v>
      </c>
      <c r="F88" t="str">
        <f>"648"</f>
        <v>648</v>
      </c>
    </row>
    <row r="89" spans="1:6" x14ac:dyDescent="0.25">
      <c r="A89" t="s">
        <v>37</v>
      </c>
      <c r="B89" t="s">
        <v>38</v>
      </c>
      <c r="C89" t="s">
        <v>154</v>
      </c>
      <c r="D89" s="5" t="s">
        <v>215</v>
      </c>
      <c r="E89" t="str">
        <f>"155T"</f>
        <v>155T</v>
      </c>
      <c r="F89" t="str">
        <f>"633"</f>
        <v>633</v>
      </c>
    </row>
    <row r="90" spans="1:6" x14ac:dyDescent="0.25">
      <c r="A90" t="s">
        <v>37</v>
      </c>
      <c r="B90" t="s">
        <v>38</v>
      </c>
      <c r="C90" t="s">
        <v>162</v>
      </c>
      <c r="D90" s="5" t="s">
        <v>241</v>
      </c>
      <c r="E90" t="str">
        <f>"688F"</f>
        <v>688F</v>
      </c>
      <c r="F90" t="str">
        <f>"659"</f>
        <v>659</v>
      </c>
    </row>
    <row r="91" spans="1:6" x14ac:dyDescent="0.25">
      <c r="A91" t="s">
        <v>37</v>
      </c>
      <c r="B91" t="s">
        <v>38</v>
      </c>
      <c r="C91" t="s">
        <v>161</v>
      </c>
      <c r="D91" s="5" t="s">
        <v>305</v>
      </c>
      <c r="E91" t="str">
        <f>"688N"</f>
        <v>688N</v>
      </c>
      <c r="F91" t="str">
        <f>"652"</f>
        <v>652</v>
      </c>
    </row>
    <row r="92" spans="1:6" x14ac:dyDescent="0.25">
      <c r="A92" t="s">
        <v>22</v>
      </c>
      <c r="B92" t="s">
        <v>23</v>
      </c>
      <c r="C92" t="s">
        <v>115</v>
      </c>
      <c r="D92" s="5" t="s">
        <v>216</v>
      </c>
      <c r="E92" t="s">
        <v>294</v>
      </c>
      <c r="F92" t="str">
        <f t="shared" ref="F92" si="0">"834"</f>
        <v>834</v>
      </c>
    </row>
    <row r="93" spans="1:6" x14ac:dyDescent="0.25">
      <c r="A93" t="s">
        <v>22</v>
      </c>
      <c r="B93" t="s">
        <v>23</v>
      </c>
      <c r="C93" t="s">
        <v>24</v>
      </c>
      <c r="D93" s="5" t="s">
        <v>217</v>
      </c>
      <c r="E93" t="str">
        <f t="shared" ref="E93" si="1">"007"</f>
        <v>007</v>
      </c>
      <c r="F93" t="str">
        <f t="shared" ref="F93" si="2">"887"</f>
        <v>887</v>
      </c>
    </row>
    <row r="94" spans="1:6" x14ac:dyDescent="0.25">
      <c r="A94" t="s">
        <v>22</v>
      </c>
      <c r="B94" t="s">
        <v>23</v>
      </c>
      <c r="C94" t="s">
        <v>157</v>
      </c>
      <c r="D94" s="5" t="s">
        <v>244</v>
      </c>
      <c r="E94" t="str">
        <f t="shared" ref="E94" si="3">"024"</f>
        <v>024</v>
      </c>
      <c r="F94" t="str">
        <f>"772"</f>
        <v>772</v>
      </c>
    </row>
    <row r="95" spans="1:6" x14ac:dyDescent="0.25">
      <c r="A95" t="s">
        <v>22</v>
      </c>
      <c r="B95" t="s">
        <v>23</v>
      </c>
      <c r="C95" t="s">
        <v>23</v>
      </c>
      <c r="D95" s="5" t="s">
        <v>226</v>
      </c>
      <c r="E95" t="str">
        <f t="shared" ref="E95" si="4">"226"</f>
        <v>226</v>
      </c>
      <c r="F95" t="str">
        <f t="shared" ref="F95" si="5">"841"</f>
        <v>841</v>
      </c>
    </row>
    <row r="96" spans="1:6" x14ac:dyDescent="0.25">
      <c r="A96" t="s">
        <v>22</v>
      </c>
      <c r="B96" t="s">
        <v>23</v>
      </c>
      <c r="C96" t="s">
        <v>41</v>
      </c>
      <c r="D96" s="5" t="s">
        <v>218</v>
      </c>
      <c r="E96" t="str">
        <f t="shared" ref="E96" si="6">"227"</f>
        <v>227</v>
      </c>
      <c r="F96" t="str">
        <f>"877"</f>
        <v>877</v>
      </c>
    </row>
    <row r="97" spans="1:6" x14ac:dyDescent="0.25">
      <c r="A97" t="s">
        <v>22</v>
      </c>
      <c r="B97" t="s">
        <v>23</v>
      </c>
      <c r="C97" t="s">
        <v>94</v>
      </c>
      <c r="D97" s="5" t="s">
        <v>245</v>
      </c>
      <c r="E97" t="str">
        <f t="shared" ref="E97" si="7">"229"</f>
        <v>229</v>
      </c>
      <c r="F97" t="str">
        <f>"804"</f>
        <v>804</v>
      </c>
    </row>
    <row r="98" spans="1:6" x14ac:dyDescent="0.25">
      <c r="A98" t="s">
        <v>22</v>
      </c>
      <c r="B98" t="s">
        <v>23</v>
      </c>
      <c r="C98" t="s">
        <v>313</v>
      </c>
      <c r="D98" s="5" t="s">
        <v>246</v>
      </c>
      <c r="E98" s="6" t="s">
        <v>314</v>
      </c>
      <c r="F98" s="6" t="s">
        <v>315</v>
      </c>
    </row>
    <row r="99" spans="1:6" x14ac:dyDescent="0.25">
      <c r="A99" t="s">
        <v>22</v>
      </c>
      <c r="B99" t="s">
        <v>23</v>
      </c>
      <c r="C99" t="s">
        <v>81</v>
      </c>
      <c r="D99" s="5" t="s">
        <v>219</v>
      </c>
      <c r="E99" t="str">
        <f t="shared" ref="E99" si="8">"020"</f>
        <v>020</v>
      </c>
      <c r="F99" t="str">
        <f>"811"</f>
        <v>811</v>
      </c>
    </row>
    <row r="100" spans="1:6" x14ac:dyDescent="0.25">
      <c r="A100" t="s">
        <v>22</v>
      </c>
      <c r="B100" t="s">
        <v>23</v>
      </c>
      <c r="C100" t="s">
        <v>82</v>
      </c>
      <c r="D100" s="5" t="s">
        <v>220</v>
      </c>
      <c r="E100" t="str">
        <f t="shared" ref="E100" si="9">"023"</f>
        <v>023</v>
      </c>
      <c r="F100" t="str">
        <f>"880"</f>
        <v>880</v>
      </c>
    </row>
    <row r="101" spans="1:6" x14ac:dyDescent="0.25">
      <c r="A101" t="s">
        <v>22</v>
      </c>
      <c r="B101" t="s">
        <v>23</v>
      </c>
      <c r="C101" t="s">
        <v>309</v>
      </c>
      <c r="D101" s="5" t="s">
        <v>310</v>
      </c>
      <c r="E101" s="6" t="s">
        <v>311</v>
      </c>
      <c r="F101" s="6" t="s">
        <v>312</v>
      </c>
    </row>
    <row r="102" spans="1:6" x14ac:dyDescent="0.25">
      <c r="A102" t="s">
        <v>22</v>
      </c>
      <c r="B102" t="s">
        <v>23</v>
      </c>
      <c r="C102" t="s">
        <v>146</v>
      </c>
      <c r="D102" s="5" t="s">
        <v>316</v>
      </c>
      <c r="E102" t="str">
        <f>"255"</f>
        <v>255</v>
      </c>
      <c r="F102" t="str">
        <f>"859"</f>
        <v>859</v>
      </c>
    </row>
    <row r="103" spans="1:6" x14ac:dyDescent="0.25">
      <c r="A103" t="s">
        <v>52</v>
      </c>
      <c r="B103" t="s">
        <v>53</v>
      </c>
      <c r="C103" t="s">
        <v>155</v>
      </c>
      <c r="D103" s="5" t="s">
        <v>221</v>
      </c>
      <c r="E103" t="str">
        <f>"938A"</f>
        <v>938A</v>
      </c>
      <c r="F103" t="str">
        <f>"588"</f>
        <v>588</v>
      </c>
    </row>
    <row r="104" spans="1:6" x14ac:dyDescent="0.25">
      <c r="A104" t="s">
        <v>52</v>
      </c>
      <c r="B104" t="s">
        <v>53</v>
      </c>
      <c r="C104" t="s">
        <v>95</v>
      </c>
      <c r="D104" s="5" t="s">
        <v>247</v>
      </c>
      <c r="E104" t="str">
        <f t="shared" ref="E104" si="10">"862"</f>
        <v>862</v>
      </c>
      <c r="F104" t="str">
        <f t="shared" ref="F104" si="11">"623"</f>
        <v>623</v>
      </c>
    </row>
    <row r="105" spans="1:6" x14ac:dyDescent="0.25">
      <c r="A105" t="s">
        <v>52</v>
      </c>
      <c r="B105" t="s">
        <v>53</v>
      </c>
      <c r="C105" t="s">
        <v>57</v>
      </c>
      <c r="D105" s="5" t="s">
        <v>222</v>
      </c>
      <c r="E105" t="str">
        <f t="shared" ref="E105" si="12">"859"</f>
        <v>859</v>
      </c>
      <c r="F105" t="str">
        <f t="shared" ref="F105" si="13">"615"</f>
        <v>615</v>
      </c>
    </row>
    <row r="106" spans="1:6" x14ac:dyDescent="0.25">
      <c r="A106" t="s">
        <v>52</v>
      </c>
      <c r="B106" t="s">
        <v>53</v>
      </c>
      <c r="C106" t="s">
        <v>141</v>
      </c>
      <c r="D106" s="5" t="s">
        <v>248</v>
      </c>
      <c r="E106" t="str">
        <f t="shared" ref="E106" si="14">"033"</f>
        <v>033</v>
      </c>
      <c r="F106" t="str">
        <f t="shared" ref="F106" si="15">"885"</f>
        <v>885</v>
      </c>
    </row>
    <row r="107" spans="1:6" x14ac:dyDescent="0.25">
      <c r="A107" t="s">
        <v>52</v>
      </c>
      <c r="B107" t="s">
        <v>53</v>
      </c>
      <c r="C107" t="s">
        <v>136</v>
      </c>
      <c r="D107" s="5" t="s">
        <v>223</v>
      </c>
      <c r="E107" t="str">
        <f>"285"</f>
        <v>285</v>
      </c>
      <c r="F107" t="str">
        <f>"634"</f>
        <v>634</v>
      </c>
    </row>
    <row r="108" spans="1:6" x14ac:dyDescent="0.25">
      <c r="A108" t="s">
        <v>52</v>
      </c>
      <c r="B108" t="s">
        <v>53</v>
      </c>
      <c r="C108" t="s">
        <v>53</v>
      </c>
      <c r="D108" s="5" t="s">
        <v>224</v>
      </c>
      <c r="E108" t="str">
        <f t="shared" ref="E108" si="16">"849"</f>
        <v>849</v>
      </c>
      <c r="F108" t="str">
        <f>"621"</f>
        <v>621</v>
      </c>
    </row>
    <row r="109" spans="1:6" x14ac:dyDescent="0.25">
      <c r="A109" t="s">
        <v>52</v>
      </c>
      <c r="B109" t="s">
        <v>53</v>
      </c>
      <c r="C109" t="s">
        <v>64</v>
      </c>
      <c r="D109" s="5" t="s">
        <v>225</v>
      </c>
      <c r="E109" t="str">
        <f t="shared" ref="E109" si="17">"860"</f>
        <v>860</v>
      </c>
      <c r="F109" t="str">
        <f t="shared" ref="F109" si="18">"594"</f>
        <v>594</v>
      </c>
    </row>
    <row r="110" spans="1:6" x14ac:dyDescent="0.25">
      <c r="A110" t="s">
        <v>129</v>
      </c>
      <c r="B110" t="s">
        <v>130</v>
      </c>
      <c r="C110" t="s">
        <v>139</v>
      </c>
      <c r="D110" s="5" t="s">
        <v>249</v>
      </c>
      <c r="E110" t="str">
        <f t="shared" ref="E110" si="19">"870"</f>
        <v>870</v>
      </c>
      <c r="F110" t="str">
        <f t="shared" ref="F110" si="20">"632"</f>
        <v>632</v>
      </c>
    </row>
    <row r="111" spans="1:6" x14ac:dyDescent="0.25">
      <c r="A111" t="s">
        <v>129</v>
      </c>
      <c r="B111" t="s">
        <v>130</v>
      </c>
      <c r="C111" t="s">
        <v>130</v>
      </c>
      <c r="D111" s="5" t="s">
        <v>250</v>
      </c>
      <c r="E111" t="str">
        <f>"908B"</f>
        <v>908B</v>
      </c>
      <c r="F111" t="str">
        <f>"627"</f>
        <v>627</v>
      </c>
    </row>
    <row r="112" spans="1:6" x14ac:dyDescent="0.25">
      <c r="A112" t="s">
        <v>129</v>
      </c>
      <c r="B112" t="s">
        <v>130</v>
      </c>
      <c r="C112" t="s">
        <v>152</v>
      </c>
      <c r="D112" s="5" t="s">
        <v>251</v>
      </c>
      <c r="E112" t="str">
        <f>"852L"</f>
        <v>852L</v>
      </c>
      <c r="F112" t="str">
        <f>"610"</f>
        <v>610</v>
      </c>
    </row>
    <row r="113" spans="1:6" x14ac:dyDescent="0.25">
      <c r="A113" t="s">
        <v>129</v>
      </c>
      <c r="B113" t="s">
        <v>130</v>
      </c>
      <c r="C113" t="s">
        <v>131</v>
      </c>
      <c r="D113" s="5" t="s">
        <v>252</v>
      </c>
      <c r="E113" t="str">
        <f t="shared" ref="E113" si="21">"849N"</f>
        <v>849N</v>
      </c>
      <c r="F113" t="str">
        <f t="shared" ref="F113" si="22">"564"</f>
        <v>564</v>
      </c>
    </row>
    <row r="114" spans="1:6" x14ac:dyDescent="0.25">
      <c r="A114" t="s">
        <v>129</v>
      </c>
      <c r="B114" t="s">
        <v>130</v>
      </c>
      <c r="C114" t="s">
        <v>150</v>
      </c>
      <c r="D114" s="5" t="s">
        <v>253</v>
      </c>
      <c r="E114" t="str">
        <f t="shared" ref="E114" si="23">"852M"</f>
        <v>852M</v>
      </c>
      <c r="F114" t="str">
        <f t="shared" ref="F114" si="24">"592"</f>
        <v>592</v>
      </c>
    </row>
    <row r="115" spans="1:6" x14ac:dyDescent="0.25">
      <c r="A115" t="s">
        <v>129</v>
      </c>
      <c r="B115" t="s">
        <v>130</v>
      </c>
      <c r="C115" t="s">
        <v>164</v>
      </c>
      <c r="D115" s="5" t="s">
        <v>254</v>
      </c>
      <c r="E115" t="str">
        <f>"492"</f>
        <v>492</v>
      </c>
      <c r="F115" t="str">
        <f>"580"</f>
        <v>580</v>
      </c>
    </row>
    <row r="116" spans="1:6" x14ac:dyDescent="0.25">
      <c r="A116" t="s">
        <v>129</v>
      </c>
      <c r="B116" t="s">
        <v>130</v>
      </c>
      <c r="C116" t="s">
        <v>151</v>
      </c>
      <c r="D116" s="5" t="s">
        <v>255</v>
      </c>
      <c r="E116" t="str">
        <f t="shared" ref="E116" si="25">"852W"</f>
        <v>852W</v>
      </c>
      <c r="F116" t="str">
        <f t="shared" ref="F116" si="26">"572"</f>
        <v>572</v>
      </c>
    </row>
    <row r="117" spans="1:6" x14ac:dyDescent="0.25">
      <c r="A117" t="s">
        <v>75</v>
      </c>
      <c r="B117" t="s">
        <v>76</v>
      </c>
      <c r="C117" t="s">
        <v>76</v>
      </c>
      <c r="D117" s="5" t="s">
        <v>295</v>
      </c>
      <c r="E117" t="str">
        <f t="shared" ref="E117" si="27">"698"</f>
        <v>698</v>
      </c>
      <c r="F117" t="str">
        <f t="shared" ref="F117" si="28">"704"</f>
        <v>704</v>
      </c>
    </row>
    <row r="118" spans="1:6" x14ac:dyDescent="0.25">
      <c r="A118" t="s">
        <v>50</v>
      </c>
      <c r="B118" t="s">
        <v>51</v>
      </c>
      <c r="C118" t="s">
        <v>51</v>
      </c>
      <c r="D118" s="5" t="s">
        <v>323</v>
      </c>
      <c r="E118" t="str">
        <f t="shared" ref="E118" si="29">"826"</f>
        <v>826</v>
      </c>
      <c r="F118" t="str">
        <f t="shared" ref="F118" si="30">"788"</f>
        <v>788</v>
      </c>
    </row>
    <row r="119" spans="1:6" x14ac:dyDescent="0.25">
      <c r="A119" t="s">
        <v>66</v>
      </c>
      <c r="B119" t="s">
        <v>67</v>
      </c>
      <c r="C119" t="s">
        <v>68</v>
      </c>
      <c r="D119" s="5" t="s">
        <v>297</v>
      </c>
      <c r="E119" t="str">
        <f t="shared" ref="E119" si="31">"939"</f>
        <v>939</v>
      </c>
      <c r="F119" t="str">
        <f>"641"</f>
        <v>641</v>
      </c>
    </row>
    <row r="120" spans="1:6" x14ac:dyDescent="0.25">
      <c r="A120" t="s">
        <v>127</v>
      </c>
      <c r="B120" t="s">
        <v>128</v>
      </c>
      <c r="C120" t="s">
        <v>128</v>
      </c>
      <c r="D120" s="5" t="s">
        <v>296</v>
      </c>
      <c r="E120" t="str">
        <f t="shared" ref="E120" si="32">"682"</f>
        <v>682</v>
      </c>
      <c r="F120" t="str">
        <f t="shared" ref="F120" si="33">"585"</f>
        <v>585</v>
      </c>
    </row>
    <row r="121" spans="1:6" x14ac:dyDescent="0.25">
      <c r="A121" t="s">
        <v>69</v>
      </c>
      <c r="B121" t="s">
        <v>70</v>
      </c>
      <c r="C121" t="s">
        <v>71</v>
      </c>
      <c r="D121" s="5" t="s">
        <v>256</v>
      </c>
      <c r="E121" t="str">
        <f t="shared" ref="E121" si="34">"901"</f>
        <v>901</v>
      </c>
      <c r="F121" t="str">
        <f t="shared" ref="F121" si="35">"562"</f>
        <v>562</v>
      </c>
    </row>
    <row r="122" spans="1:6" x14ac:dyDescent="0.25">
      <c r="A122" t="s">
        <v>47</v>
      </c>
      <c r="B122" t="s">
        <v>48</v>
      </c>
      <c r="C122" t="s">
        <v>114</v>
      </c>
      <c r="D122" s="5" t="s">
        <v>298</v>
      </c>
      <c r="E122" t="str">
        <f t="shared" ref="E122" si="36">"697"</f>
        <v>697</v>
      </c>
      <c r="F122" t="str">
        <f>"793"</f>
        <v>793</v>
      </c>
    </row>
    <row r="123" spans="1:6" x14ac:dyDescent="0.25">
      <c r="A123" t="s">
        <v>47</v>
      </c>
      <c r="B123" t="s">
        <v>48</v>
      </c>
      <c r="C123" t="s">
        <v>77</v>
      </c>
      <c r="D123" s="5" t="s">
        <v>237</v>
      </c>
      <c r="E123" t="str">
        <f t="shared" ref="E123" si="37">"689"</f>
        <v>689</v>
      </c>
      <c r="F123" t="str">
        <f>"817"</f>
        <v>817</v>
      </c>
    </row>
    <row r="124" spans="1:6" x14ac:dyDescent="0.25">
      <c r="A124" t="s">
        <v>47</v>
      </c>
      <c r="B124" t="s">
        <v>48</v>
      </c>
      <c r="C124" t="s">
        <v>138</v>
      </c>
      <c r="D124" s="5" t="s">
        <v>299</v>
      </c>
      <c r="E124" t="str">
        <f t="shared" ref="E124" si="38">"004"</f>
        <v>004</v>
      </c>
      <c r="F124" t="str">
        <f>"897"</f>
        <v>897</v>
      </c>
    </row>
    <row r="125" spans="1:6" x14ac:dyDescent="0.25">
      <c r="A125" t="s">
        <v>47</v>
      </c>
      <c r="B125" t="s">
        <v>48</v>
      </c>
      <c r="C125" t="s">
        <v>159</v>
      </c>
      <c r="D125" s="5" t="s">
        <v>300</v>
      </c>
      <c r="E125" t="str">
        <f t="shared" ref="E125" si="39">"676N"</f>
        <v>676N</v>
      </c>
      <c r="F125" t="str">
        <f t="shared" ref="F125" si="40">"853"</f>
        <v>853</v>
      </c>
    </row>
    <row r="126" spans="1:6" x14ac:dyDescent="0.25">
      <c r="A126" t="s">
        <v>47</v>
      </c>
      <c r="B126" t="s">
        <v>48</v>
      </c>
      <c r="C126" t="s">
        <v>133</v>
      </c>
      <c r="D126" s="5" t="s">
        <v>301</v>
      </c>
      <c r="E126" t="str">
        <f t="shared" ref="E126" si="41">"676E"</f>
        <v>676E</v>
      </c>
      <c r="F126" t="str">
        <f>"873"</f>
        <v>873</v>
      </c>
    </row>
    <row r="127" spans="1:6" x14ac:dyDescent="0.25">
      <c r="A127" t="s">
        <v>47</v>
      </c>
      <c r="B127" t="s">
        <v>48</v>
      </c>
      <c r="C127" t="s">
        <v>49</v>
      </c>
      <c r="D127" s="5" t="s">
        <v>302</v>
      </c>
      <c r="E127" t="str">
        <f t="shared" ref="E127" si="42">"684"</f>
        <v>684</v>
      </c>
      <c r="F127" t="str">
        <f t="shared" ref="F127" si="43">"881"</f>
        <v>881</v>
      </c>
    </row>
    <row r="128" spans="1:6" x14ac:dyDescent="0.25">
      <c r="A128" t="s">
        <v>3</v>
      </c>
      <c r="B128" t="s">
        <v>4</v>
      </c>
      <c r="C128" t="s">
        <v>55</v>
      </c>
      <c r="D128" s="5" t="s">
        <v>262</v>
      </c>
      <c r="E128" t="str">
        <f t="shared" ref="E128" si="44">"856"</f>
        <v>856</v>
      </c>
      <c r="F128" t="str">
        <f>"709"</f>
        <v>709</v>
      </c>
    </row>
    <row r="129" spans="1:6" x14ac:dyDescent="0.25">
      <c r="A129" t="s">
        <v>3</v>
      </c>
      <c r="B129" t="s">
        <v>4</v>
      </c>
      <c r="C129" t="s">
        <v>54</v>
      </c>
      <c r="D129" s="5" t="s">
        <v>263</v>
      </c>
      <c r="E129" t="str">
        <f t="shared" ref="E129" si="45">"852"</f>
        <v>852</v>
      </c>
      <c r="F129" t="str">
        <f t="shared" ref="F129" si="46">"654"</f>
        <v>654</v>
      </c>
    </row>
    <row r="130" spans="1:6" x14ac:dyDescent="0.25">
      <c r="A130" t="s">
        <v>90</v>
      </c>
      <c r="B130" t="s">
        <v>91</v>
      </c>
      <c r="C130" t="s">
        <v>132</v>
      </c>
      <c r="D130" s="5" t="s">
        <v>175</v>
      </c>
      <c r="E130" t="str">
        <f t="shared" ref="E130" si="47">"927"</f>
        <v>927</v>
      </c>
      <c r="F130" t="str">
        <f t="shared" ref="F130" si="48">"628"</f>
        <v>628</v>
      </c>
    </row>
    <row r="131" spans="1:6" x14ac:dyDescent="0.25">
      <c r="A131" t="s">
        <v>109</v>
      </c>
      <c r="B131" t="s">
        <v>110</v>
      </c>
      <c r="C131" t="s">
        <v>111</v>
      </c>
      <c r="D131" s="5" t="s">
        <v>261</v>
      </c>
      <c r="E131" t="str">
        <f t="shared" ref="E131" si="49">"282"</f>
        <v>282</v>
      </c>
      <c r="F131" t="str">
        <f t="shared" ref="F131" si="50">"888"</f>
        <v>888</v>
      </c>
    </row>
    <row r="132" spans="1:6" x14ac:dyDescent="0.25">
      <c r="A132" t="s">
        <v>103</v>
      </c>
      <c r="B132" t="s">
        <v>104</v>
      </c>
      <c r="C132" t="s">
        <v>153</v>
      </c>
      <c r="D132" s="5" t="s">
        <v>303</v>
      </c>
      <c r="E132" t="str">
        <f t="shared" ref="E132" si="51">"501"</f>
        <v>501</v>
      </c>
      <c r="F132" t="str">
        <f t="shared" ref="F132" si="52">"855"</f>
        <v>855</v>
      </c>
    </row>
    <row r="133" spans="1:6" x14ac:dyDescent="0.25">
      <c r="A133" t="s">
        <v>103</v>
      </c>
      <c r="B133" t="s">
        <v>104</v>
      </c>
      <c r="C133" t="s">
        <v>105</v>
      </c>
      <c r="D133" s="5" t="s">
        <v>264</v>
      </c>
      <c r="E133" t="str">
        <f t="shared" ref="E133" si="53">"280"</f>
        <v>280</v>
      </c>
      <c r="F133" t="str">
        <f>"801"</f>
        <v>801</v>
      </c>
    </row>
    <row r="134" spans="1:6" x14ac:dyDescent="0.25">
      <c r="A134" t="s">
        <v>12</v>
      </c>
      <c r="B134" t="s">
        <v>13</v>
      </c>
      <c r="C134" t="s">
        <v>14</v>
      </c>
      <c r="D134" s="5" t="s">
        <v>258</v>
      </c>
      <c r="E134" t="str">
        <f t="shared" ref="E134" si="54">"281"</f>
        <v>281</v>
      </c>
      <c r="F134" t="str">
        <f t="shared" ref="F134" si="55">"612"</f>
        <v>612</v>
      </c>
    </row>
    <row r="135" spans="1:6" x14ac:dyDescent="0.25">
      <c r="A135" t="s">
        <v>9</v>
      </c>
      <c r="B135" t="s">
        <v>10</v>
      </c>
      <c r="C135" t="s">
        <v>11</v>
      </c>
      <c r="D135" s="5" t="s">
        <v>265</v>
      </c>
      <c r="E135" t="str">
        <f t="shared" ref="E135" si="56">"179"</f>
        <v>179</v>
      </c>
      <c r="F135" t="str">
        <f t="shared" ref="F135" si="57">"886"</f>
        <v>886</v>
      </c>
    </row>
    <row r="136" spans="1:6" x14ac:dyDescent="0.25">
      <c r="A136" t="s">
        <v>72</v>
      </c>
      <c r="B136" t="s">
        <v>73</v>
      </c>
      <c r="C136" t="s">
        <v>74</v>
      </c>
      <c r="D136" s="5" t="s">
        <v>266</v>
      </c>
      <c r="E136" t="str">
        <f t="shared" ref="E136" si="58">"186"</f>
        <v>186</v>
      </c>
      <c r="F136" t="str">
        <f>"809"</f>
        <v>809</v>
      </c>
    </row>
  </sheetData>
  <sortState ref="A1:S9764">
    <sortCondition ref="B1:B97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Organization conversion by Mid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Nelson, Heather (hnelson@uidaho.edu)</dc:creator>
  <cp:lastModifiedBy>Nelson, Heather (hnelson@uidaho.edu)</cp:lastModifiedBy>
  <dcterms:created xsi:type="dcterms:W3CDTF">2018-03-25T17:55:02Z</dcterms:created>
  <dcterms:modified xsi:type="dcterms:W3CDTF">2018-05-17T16:07:25Z</dcterms:modified>
</cp:coreProperties>
</file>